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My Drive\Web Docs\"/>
    </mc:Choice>
  </mc:AlternateContent>
  <xr:revisionPtr revIDLastSave="0" documentId="8_{8E8AFFE2-7533-4B1F-8EA5-6F2F6689AA9B}" xr6:coauthVersionLast="36" xr6:coauthVersionMax="36" xr10:uidLastSave="{00000000-0000-0000-0000-000000000000}"/>
  <bookViews>
    <workbookView xWindow="360" yWindow="210" windowWidth="13395" windowHeight="7560" xr2:uid="{00000000-000D-0000-FFFF-FFFF00000000}"/>
  </bookViews>
  <sheets>
    <sheet name="Aerated Lagoon Calcs" sheetId="1" r:id="rId1"/>
    <sheet name="SAGR Calcs" sheetId="2" r:id="rId2"/>
  </sheets>
  <definedNames>
    <definedName name="awwthirty">'Aerated Lagoon Calcs'!$D$6</definedName>
    <definedName name="eighteenc">'Aerated Lagoon Calcs'!$D$7</definedName>
    <definedName name="solver_adj" localSheetId="0" hidden="1">'Aerated Lagoon Calcs'!$D$3</definedName>
    <definedName name="solver_adj" localSheetId="1" hidden="1">'SAGR Calcs'!#REF!</definedName>
    <definedName name="solver_cvg" localSheetId="0" hidden="1">0.0001</definedName>
    <definedName name="solver_cvg" localSheetId="1" hidden="1">0.0001</definedName>
    <definedName name="solver_drv" localSheetId="0" hidden="1">1</definedName>
    <definedName name="solver_drv" localSheetId="1" hidden="1">1</definedName>
    <definedName name="solver_eng" localSheetId="0" hidden="1">1</definedName>
    <definedName name="solver_eng" localSheetId="1" hidden="1">1</definedName>
    <definedName name="solver_est" localSheetId="0" hidden="1">1</definedName>
    <definedName name="solver_est" localSheetId="1" hidden="1">1</definedName>
    <definedName name="solver_itr" localSheetId="0" hidden="1">2147483647</definedName>
    <definedName name="solver_itr" localSheetId="1" hidden="1">2147483647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1</definedName>
    <definedName name="solver_neg" localSheetId="1" hidden="1">1</definedName>
    <definedName name="solver_nod" localSheetId="0" hidden="1">2147483647</definedName>
    <definedName name="solver_nod" localSheetId="1" hidden="1">2147483647</definedName>
    <definedName name="solver_num" localSheetId="0" hidden="1">0</definedName>
    <definedName name="solver_num" localSheetId="1" hidden="1">0</definedName>
    <definedName name="solver_nwt" localSheetId="0" hidden="1">1</definedName>
    <definedName name="solver_nwt" localSheetId="1" hidden="1">1</definedName>
    <definedName name="solver_opt" localSheetId="0" hidden="1">'Aerated Lagoon Calcs'!$E$37</definedName>
    <definedName name="solver_opt" localSheetId="1" hidden="1">'SAGR Calcs'!#REF!</definedName>
    <definedName name="solver_pre" localSheetId="0" hidden="1">0.000001</definedName>
    <definedName name="solver_pre" localSheetId="1" hidden="1">0.000001</definedName>
    <definedName name="solver_rbv" localSheetId="0" hidden="1">1</definedName>
    <definedName name="solver_rbv" localSheetId="1" hidden="1">1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1</definedName>
    <definedName name="solver_scl" localSheetId="1" hidden="1">1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tim" localSheetId="0" hidden="1">2147483647</definedName>
    <definedName name="solver_tim" localSheetId="1" hidden="1">2147483647</definedName>
    <definedName name="solver_tol" localSheetId="0" hidden="1">0.01</definedName>
    <definedName name="solver_tol" localSheetId="1" hidden="1">0.01</definedName>
    <definedName name="solver_typ" localSheetId="0" hidden="1">3</definedName>
    <definedName name="solver_typ" localSheetId="1" hidden="1">3</definedName>
    <definedName name="solver_val" localSheetId="0" hidden="1">12</definedName>
    <definedName name="solver_val" localSheetId="1" hidden="1">0</definedName>
    <definedName name="solver_ver" localSheetId="0" hidden="1">3</definedName>
    <definedName name="solver_ver" localSheetId="1" hidden="1">3</definedName>
  </definedNames>
  <calcPr calcId="191029"/>
</workbook>
</file>

<file path=xl/calcChain.xml><?xml version="1.0" encoding="utf-8"?>
<calcChain xmlns="http://schemas.openxmlformats.org/spreadsheetml/2006/main">
  <c r="C5" i="2" l="1"/>
  <c r="C14" i="2"/>
  <c r="C15" i="2" l="1"/>
  <c r="C16" i="2" s="1"/>
  <c r="G29" i="1" l="1"/>
  <c r="J29" i="1" s="1"/>
  <c r="G27" i="1"/>
  <c r="J27" i="1" s="1"/>
  <c r="G20" i="1"/>
  <c r="G19" i="1"/>
  <c r="G18" i="1"/>
  <c r="G17" i="1"/>
  <c r="G16" i="1"/>
  <c r="G28" i="1"/>
  <c r="J28" i="1" s="1"/>
  <c r="G26" i="1"/>
  <c r="D30" i="1"/>
  <c r="D26" i="1"/>
  <c r="H21" i="1"/>
  <c r="F18" i="1"/>
  <c r="F19" i="1"/>
  <c r="D21" i="1"/>
  <c r="J20" i="1"/>
  <c r="M20" i="1" s="1"/>
  <c r="G30" i="1" l="1"/>
  <c r="J30" i="1"/>
  <c r="G21" i="1"/>
  <c r="D4" i="1"/>
  <c r="I18" i="1" l="1"/>
  <c r="J18" i="1" s="1"/>
  <c r="M18" i="1" s="1"/>
  <c r="I19" i="1"/>
  <c r="J19" i="1" s="1"/>
  <c r="M19" i="1" s="1"/>
  <c r="I17" i="1"/>
  <c r="J17" i="1" s="1"/>
  <c r="M17" i="1" s="1"/>
  <c r="D7" i="1"/>
  <c r="E16" i="1" s="1"/>
  <c r="I16" i="1"/>
  <c r="F17" i="1"/>
  <c r="F20" i="1"/>
  <c r="L20" i="1" s="1"/>
  <c r="F16" i="1"/>
  <c r="J26" i="1" l="1"/>
  <c r="E20" i="1"/>
  <c r="K20" i="1" s="1"/>
  <c r="I21" i="1"/>
  <c r="L18" i="1"/>
  <c r="D35" i="1" s="1"/>
  <c r="G35" i="1"/>
  <c r="K18" i="1"/>
  <c r="J35" i="1" s="1"/>
  <c r="J16" i="1"/>
  <c r="L16" i="1" s="1"/>
  <c r="D33" i="1" s="1"/>
  <c r="E17" i="1"/>
  <c r="E18" i="1"/>
  <c r="E19" i="1"/>
  <c r="L19" i="1"/>
  <c r="D36" i="1" s="1"/>
  <c r="G36" i="1"/>
  <c r="K19" i="1"/>
  <c r="J36" i="1" s="1"/>
  <c r="L17" i="1"/>
  <c r="D34" i="1" s="1"/>
  <c r="K17" i="1"/>
  <c r="J34" i="1" s="1"/>
  <c r="G34" i="1"/>
  <c r="K16" i="1"/>
  <c r="F21" i="1"/>
  <c r="J33" i="1" l="1"/>
  <c r="K33" i="1" s="1"/>
  <c r="K21" i="1"/>
  <c r="E21" i="1"/>
  <c r="G33" i="1"/>
  <c r="M16" i="1"/>
  <c r="M21" i="1" s="1"/>
  <c r="J21" i="1"/>
  <c r="L21" i="1"/>
  <c r="E33" i="1"/>
  <c r="F33" i="1" s="1"/>
  <c r="H33" i="1" l="1"/>
  <c r="H34" i="1" s="1"/>
  <c r="L33" i="1"/>
  <c r="K34" i="1"/>
  <c r="E34" i="1"/>
  <c r="I33" i="1" l="1"/>
  <c r="L34" i="1"/>
  <c r="K35" i="1"/>
  <c r="H35" i="1"/>
  <c r="I34" i="1"/>
  <c r="E35" i="1"/>
  <c r="F34" i="1"/>
  <c r="I35" i="1" l="1"/>
  <c r="H36" i="1"/>
  <c r="K36" i="1"/>
  <c r="L35" i="1"/>
  <c r="F35" i="1"/>
  <c r="E36" i="1"/>
  <c r="K37" i="1" l="1"/>
  <c r="L37" i="1" s="1"/>
  <c r="L36" i="1"/>
  <c r="H37" i="1"/>
  <c r="I37" i="1" s="1"/>
  <c r="I36" i="1"/>
  <c r="E37" i="1"/>
  <c r="C7" i="2" s="1"/>
  <c r="F36" i="1"/>
  <c r="E7" i="2" l="1"/>
  <c r="F37" i="1"/>
  <c r="C6" i="2" l="1"/>
  <c r="C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Bryant, Larry [DNR]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Bryant, Larry [DNR]:  Based on 18C 1.54 days/100 mg/L SS, 0.2 lbs/cap/day, 100 gpcd -&gt; 3.7 days or 370 gallons per capita over a 20-year period.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Bryant, Larry [DNR]:  12" average thickness at HWL.</t>
        </r>
      </text>
    </comment>
    <comment ref="I1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Bryant, Larry [DNR]:  Sludge distribution assumed proportional to aerated cell volume.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<sst xmlns="http://schemas.openxmlformats.org/spreadsheetml/2006/main" count="78" uniqueCount="57">
  <si>
    <t>Cell</t>
  </si>
  <si>
    <t>quiescent</t>
  </si>
  <si>
    <t>18C</t>
  </si>
  <si>
    <t>AWW</t>
  </si>
  <si>
    <t>Per capita sludge accumulation</t>
  </si>
  <si>
    <t>gpcpy</t>
  </si>
  <si>
    <t>Ice Cover, MG</t>
  </si>
  <si>
    <t>Sludge Volume, MG</t>
  </si>
  <si>
    <t>Net Volume, MG</t>
  </si>
  <si>
    <t>18C Gross HRT, days</t>
  </si>
  <si>
    <t>AWW Gross HRT, days</t>
  </si>
  <si>
    <t>18C Net HRT, days</t>
  </si>
  <si>
    <t>AWW Net HRT, days</t>
  </si>
  <si>
    <t>ADW</t>
  </si>
  <si>
    <t>Gross volume, MG</t>
  </si>
  <si>
    <t>Cell Volumes, Ice &amp; Sludge Volumes, and Gross &amp; Net 18C and AWW HRTs</t>
  </si>
  <si>
    <t>Sludge Accumulation</t>
  </si>
  <si>
    <r>
      <t>30-d BOD</t>
    </r>
    <r>
      <rPr>
        <vertAlign val="subscript"/>
        <sz val="11"/>
        <color theme="1"/>
        <rFont val="Calibri"/>
        <family val="2"/>
        <scheme val="minor"/>
      </rPr>
      <t>5</t>
    </r>
  </si>
  <si>
    <t>Lagoon Design Basis Loadings</t>
  </si>
  <si>
    <t>Totals</t>
  </si>
  <si>
    <t>mg/L @ design loading and AWW</t>
  </si>
  <si>
    <t>degrees C</t>
  </si>
  <si>
    <r>
      <t>K1</t>
    </r>
    <r>
      <rPr>
        <vertAlign val="subscript"/>
        <sz val="11"/>
        <color theme="1"/>
        <rFont val="Calibri"/>
        <family val="2"/>
        <scheme val="minor"/>
      </rPr>
      <t>20</t>
    </r>
  </si>
  <si>
    <t>reaction coefficient @ 20 degrees C</t>
  </si>
  <si>
    <t>Temp. Correction Coeff.</t>
  </si>
  <si>
    <t>Influent BOD5 Conc., Co</t>
  </si>
  <si>
    <t>Design Operating Temp., T</t>
  </si>
  <si>
    <r>
      <t>K1</t>
    </r>
    <r>
      <rPr>
        <vertAlign val="subscript"/>
        <sz val="11"/>
        <color theme="1"/>
        <rFont val="Calibri"/>
        <family val="2"/>
        <scheme val="minor"/>
      </rPr>
      <t>design</t>
    </r>
  </si>
  <si>
    <t>Ce/Co</t>
  </si>
  <si>
    <t>Ce (mg/L)</t>
  </si>
  <si>
    <t>Ce (lbs/d)</t>
  </si>
  <si>
    <t>ADW Conditions</t>
  </si>
  <si>
    <t>AWW Conditions</t>
  </si>
  <si>
    <t>mg/L @ design loading and ADW</t>
  </si>
  <si>
    <t>ADW Gross HRT, days</t>
  </si>
  <si>
    <t>ADW Net HRT, days</t>
  </si>
  <si>
    <t>18C Design Flow Conditions</t>
  </si>
  <si>
    <t>reaction coefficient @ design temp.</t>
  </si>
  <si>
    <t>lbs/d</t>
  </si>
  <si>
    <t>PE (0.17 lbs/capita/day)</t>
  </si>
  <si>
    <t>MGD</t>
  </si>
  <si>
    <r>
      <t>Calculated BOD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 xml:space="preserve"> Removal Efficiencies (1st Order CSTR Model)</t>
    </r>
  </si>
  <si>
    <t xml:space="preserve">SAGR Design Influent </t>
  </si>
  <si>
    <t>30-d Max. TKN</t>
  </si>
  <si>
    <r>
      <t>30-d Max. BOD</t>
    </r>
    <r>
      <rPr>
        <vertAlign val="subscript"/>
        <sz val="11"/>
        <color theme="1"/>
        <rFont val="Calibri"/>
        <family val="2"/>
        <scheme val="minor"/>
      </rPr>
      <t>5</t>
    </r>
  </si>
  <si>
    <t>Max. Influent Conc.</t>
  </si>
  <si>
    <t>mg/L</t>
  </si>
  <si>
    <t>sq. ft.</t>
  </si>
  <si>
    <t>includes 75% flux reliability</t>
  </si>
  <si>
    <t>Media Porosity</t>
  </si>
  <si>
    <t>cu. ft.</t>
  </si>
  <si>
    <t>AWW Flow</t>
  </si>
  <si>
    <t>Loading Calcs (for 2-zone, 4-cell configuration)</t>
  </si>
  <si>
    <t>Minimum Flux Area Required per Cell</t>
  </si>
  <si>
    <t>Minimum Total HRT Volume Required</t>
  </si>
  <si>
    <t>Minimum Total TKN Volume Required</t>
  </si>
  <si>
    <t>Minimum Total Volume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</si>
</sst>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0" xfId="0" applyFill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14" xfId="0" applyBorder="1"/>
    <xf numFmtId="0" fontId="0" fillId="0" borderId="16" xfId="0" applyBorder="1"/>
    <xf numFmtId="0" fontId="0" fillId="0" borderId="21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0" xfId="0" applyNumberFormat="1" applyBorder="1"/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3" xfId="0" applyNumberFormat="1" applyFill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C2:P37"/>
  <sheetViews>
    <sheetView tabSelected="1" topLeftCell="B1" zoomScale="75" zoomScaleNormal="75" workbookViewId="0">
      <selection activeCell="B1" sqref="B1"/>
    </sheetView>
  </sheetViews>
  <sheetFormatPr defaultRowHeight="15" x14ac:dyDescent="0.25"/>
  <cols>
    <col min="3" max="3" width="28.140625" customWidth="1"/>
    <col min="4" max="4" width="18.7109375" customWidth="1"/>
    <col min="5" max="5" width="20.42578125" customWidth="1"/>
    <col min="6" max="6" width="22" customWidth="1"/>
    <col min="7" max="7" width="20.28515625" customWidth="1"/>
    <col min="8" max="8" width="14.42578125" customWidth="1"/>
    <col min="9" max="9" width="18.7109375" customWidth="1"/>
    <col min="10" max="10" width="16.7109375" customWidth="1"/>
    <col min="11" max="11" width="16.85546875" customWidth="1"/>
    <col min="12" max="12" width="18.42578125" customWidth="1"/>
    <col min="13" max="13" width="18.7109375" customWidth="1"/>
  </cols>
  <sheetData>
    <row r="2" spans="3:13" ht="15.75" thickBot="1" x14ac:dyDescent="0.3">
      <c r="C2" s="59" t="s">
        <v>18</v>
      </c>
      <c r="D2" s="60"/>
      <c r="E2" s="61"/>
    </row>
    <row r="3" spans="3:13" ht="18" x14ac:dyDescent="0.35">
      <c r="C3" s="28" t="s">
        <v>17</v>
      </c>
      <c r="D3" s="47">
        <v>170</v>
      </c>
      <c r="E3" s="3" t="s">
        <v>38</v>
      </c>
    </row>
    <row r="4" spans="3:13" x14ac:dyDescent="0.25">
      <c r="C4" s="24" t="s">
        <v>39</v>
      </c>
      <c r="D4" s="48">
        <f>D3/0.17</f>
        <v>999.99999999999989</v>
      </c>
      <c r="E4" s="2"/>
    </row>
    <row r="5" spans="3:13" x14ac:dyDescent="0.25">
      <c r="C5" s="24" t="s">
        <v>13</v>
      </c>
      <c r="D5" s="50">
        <v>7.4999999999999997E-2</v>
      </c>
      <c r="E5" s="2" t="s">
        <v>40</v>
      </c>
    </row>
    <row r="6" spans="3:13" x14ac:dyDescent="0.25">
      <c r="C6" s="24" t="s">
        <v>3</v>
      </c>
      <c r="D6" s="50">
        <v>0.45</v>
      </c>
      <c r="E6" s="2" t="s">
        <v>40</v>
      </c>
    </row>
    <row r="7" spans="3:13" x14ac:dyDescent="0.25">
      <c r="C7" s="24" t="s">
        <v>2</v>
      </c>
      <c r="D7" s="49">
        <f>MAX(100*D4/1000000,D5+0.3*(awwthirty-D5))</f>
        <v>0.1875</v>
      </c>
      <c r="E7" s="2" t="s">
        <v>40</v>
      </c>
    </row>
    <row r="8" spans="3:13" x14ac:dyDescent="0.25">
      <c r="C8" s="4"/>
      <c r="D8" s="4"/>
      <c r="E8" s="4"/>
    </row>
    <row r="10" spans="3:13" ht="15.75" thickBot="1" x14ac:dyDescent="0.3">
      <c r="C10" s="59" t="s">
        <v>16</v>
      </c>
      <c r="D10" s="60"/>
      <c r="E10" s="61"/>
    </row>
    <row r="11" spans="3:13" x14ac:dyDescent="0.25">
      <c r="C11" s="3" t="s">
        <v>4</v>
      </c>
      <c r="D11" s="29">
        <v>18.5</v>
      </c>
      <c r="E11" s="3" t="s">
        <v>5</v>
      </c>
    </row>
    <row r="12" spans="3:13" x14ac:dyDescent="0.25">
      <c r="C12" s="4"/>
      <c r="D12" s="13"/>
      <c r="E12" s="4"/>
    </row>
    <row r="14" spans="3:13" ht="15.75" thickBot="1" x14ac:dyDescent="0.3">
      <c r="C14" s="62" t="s">
        <v>15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</row>
    <row r="15" spans="3:13" ht="15.75" thickBot="1" x14ac:dyDescent="0.3">
      <c r="C15" s="11" t="s">
        <v>0</v>
      </c>
      <c r="D15" s="12" t="s">
        <v>14</v>
      </c>
      <c r="E15" s="12" t="s">
        <v>9</v>
      </c>
      <c r="F15" s="12" t="s">
        <v>10</v>
      </c>
      <c r="G15" s="12" t="s">
        <v>34</v>
      </c>
      <c r="H15" s="12" t="s">
        <v>6</v>
      </c>
      <c r="I15" s="12" t="s">
        <v>7</v>
      </c>
      <c r="J15" s="12" t="s">
        <v>8</v>
      </c>
      <c r="K15" s="12" t="s">
        <v>11</v>
      </c>
      <c r="L15" s="12" t="s">
        <v>12</v>
      </c>
      <c r="M15" s="12" t="s">
        <v>35</v>
      </c>
    </row>
    <row r="16" spans="3:13" x14ac:dyDescent="0.25">
      <c r="C16" s="8">
        <v>1</v>
      </c>
      <c r="D16" s="29">
        <v>2</v>
      </c>
      <c r="E16" s="32">
        <f>D16/eighteenc</f>
        <v>10.666666666666666</v>
      </c>
      <c r="F16" s="32">
        <f>D16/awwthirty</f>
        <v>4.4444444444444446</v>
      </c>
      <c r="G16" s="32">
        <f>D16/D5</f>
        <v>26.666666666666668</v>
      </c>
      <c r="H16" s="33">
        <v>0.38</v>
      </c>
      <c r="I16" s="32">
        <f>((D16/(SUM(D16:D19))*D4*D11*20)/1000000)</f>
        <v>0.20385674931129472</v>
      </c>
      <c r="J16" s="32">
        <f>D16-H16-I16</f>
        <v>1.4161432506887053</v>
      </c>
      <c r="K16" s="32">
        <f>J16/eighteenc</f>
        <v>7.5527640036730945</v>
      </c>
      <c r="L16" s="32">
        <f>J16/awwthirty</f>
        <v>3.1469850015304561</v>
      </c>
      <c r="M16" s="32">
        <f>J16/D5</f>
        <v>18.881910009182739</v>
      </c>
    </row>
    <row r="17" spans="3:16" x14ac:dyDescent="0.25">
      <c r="C17" s="7">
        <v>2</v>
      </c>
      <c r="D17" s="30">
        <v>1.63</v>
      </c>
      <c r="E17" s="34">
        <f>D17/eighteenc</f>
        <v>8.6933333333333334</v>
      </c>
      <c r="F17" s="34">
        <f>D17/awwthirty</f>
        <v>3.6222222222222218</v>
      </c>
      <c r="G17" s="34">
        <f>D17/D5</f>
        <v>21.733333333333334</v>
      </c>
      <c r="H17" s="35">
        <v>0.32</v>
      </c>
      <c r="I17" s="34">
        <f>((D17/(SUM(D16:D19))*D4*D11*20)/1000000)</f>
        <v>0.1661432506887052</v>
      </c>
      <c r="J17" s="34">
        <f>D17-H17-I17</f>
        <v>1.1438567493112946</v>
      </c>
      <c r="K17" s="34">
        <f>J17/eighteenc</f>
        <v>6.1005693296602379</v>
      </c>
      <c r="L17" s="34">
        <f>J17/awwthirty</f>
        <v>2.5419038873584321</v>
      </c>
      <c r="M17" s="34">
        <f>J17/D5</f>
        <v>15.251423324150595</v>
      </c>
    </row>
    <row r="18" spans="3:16" x14ac:dyDescent="0.25">
      <c r="C18" s="7">
        <v>3</v>
      </c>
      <c r="D18" s="30"/>
      <c r="E18" s="34">
        <f>D18/eighteenc</f>
        <v>0</v>
      </c>
      <c r="F18" s="34">
        <f>D18/awwthirty</f>
        <v>0</v>
      </c>
      <c r="G18" s="34">
        <f>D18/D5</f>
        <v>0</v>
      </c>
      <c r="H18" s="35"/>
      <c r="I18" s="34">
        <f>((D18/(SUM(D16:D19))*D4*D11*20)/1000000)</f>
        <v>0</v>
      </c>
      <c r="J18" s="34">
        <f>D18-H18-I18</f>
        <v>0</v>
      </c>
      <c r="K18" s="34">
        <f>J18/eighteenc</f>
        <v>0</v>
      </c>
      <c r="L18" s="34">
        <f>J18/awwthirty</f>
        <v>0</v>
      </c>
      <c r="M18" s="34">
        <f>J18/D5</f>
        <v>0</v>
      </c>
    </row>
    <row r="19" spans="3:16" x14ac:dyDescent="0.25">
      <c r="C19" s="7">
        <v>4</v>
      </c>
      <c r="D19" s="30"/>
      <c r="E19" s="34">
        <f>D19/eighteenc</f>
        <v>0</v>
      </c>
      <c r="F19" s="34">
        <f>D19/awwthirty</f>
        <v>0</v>
      </c>
      <c r="G19" s="34">
        <f>D19/D5</f>
        <v>0</v>
      </c>
      <c r="H19" s="35"/>
      <c r="I19" s="34">
        <f>((D19/(SUM(D16:D19))*D4*D11*20)/1000000)</f>
        <v>0</v>
      </c>
      <c r="J19" s="34">
        <f>D19-H19-I19</f>
        <v>0</v>
      </c>
      <c r="K19" s="34">
        <f>J19/eighteenc</f>
        <v>0</v>
      </c>
      <c r="L19" s="34">
        <f>J19/awwthirty</f>
        <v>0</v>
      </c>
      <c r="M19" s="34">
        <f>J19/D5</f>
        <v>0</v>
      </c>
    </row>
    <row r="20" spans="3:16" ht="15.75" thickBot="1" x14ac:dyDescent="0.3">
      <c r="C20" s="9" t="s">
        <v>1</v>
      </c>
      <c r="D20" s="31">
        <v>0.38</v>
      </c>
      <c r="E20" s="36">
        <f>D20/eighteenc</f>
        <v>2.0266666666666668</v>
      </c>
      <c r="F20" s="36">
        <f>D20/awwthirty</f>
        <v>0.84444444444444444</v>
      </c>
      <c r="G20" s="36">
        <f>D20/D5</f>
        <v>5.0666666666666673</v>
      </c>
      <c r="H20" s="37"/>
      <c r="I20" s="36"/>
      <c r="J20" s="36">
        <f>D20</f>
        <v>0.38</v>
      </c>
      <c r="K20" s="36">
        <f>E20</f>
        <v>2.0266666666666668</v>
      </c>
      <c r="L20" s="36">
        <f>F20</f>
        <v>0.84444444444444444</v>
      </c>
      <c r="M20" s="36">
        <f>J20/D5</f>
        <v>5.0666666666666673</v>
      </c>
    </row>
    <row r="21" spans="3:16" x14ac:dyDescent="0.25">
      <c r="C21" s="8" t="s">
        <v>19</v>
      </c>
      <c r="D21" s="28">
        <f>SUM(D16:D20)</f>
        <v>4.01</v>
      </c>
      <c r="E21" s="32">
        <f>SUM(E16:E20)</f>
        <v>21.386666666666667</v>
      </c>
      <c r="F21" s="32">
        <f>SUM(F16:F20)</f>
        <v>8.9111111111111114</v>
      </c>
      <c r="G21" s="32">
        <f>SUM(G16:G20)</f>
        <v>53.466666666666676</v>
      </c>
      <c r="H21" s="32">
        <f>SUM(H16:H20)</f>
        <v>0.7</v>
      </c>
      <c r="I21" s="32">
        <f t="shared" ref="I21:M21" si="0">SUM(I16:I20)</f>
        <v>0.36999999999999988</v>
      </c>
      <c r="J21" s="32">
        <f t="shared" si="0"/>
        <v>2.9399999999999995</v>
      </c>
      <c r="K21" s="32">
        <f>SUM(K16:K20)</f>
        <v>15.68</v>
      </c>
      <c r="L21" s="32">
        <f t="shared" si="0"/>
        <v>6.5333333333333323</v>
      </c>
      <c r="M21" s="32">
        <f t="shared" si="0"/>
        <v>39.200000000000003</v>
      </c>
    </row>
    <row r="22" spans="3:16" x14ac:dyDescent="0.25">
      <c r="C22" s="6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3:16" x14ac:dyDescent="0.25">
      <c r="C23" s="1"/>
    </row>
    <row r="24" spans="3:16" ht="18.75" thickBot="1" x14ac:dyDescent="0.4">
      <c r="C24" s="54" t="s">
        <v>41</v>
      </c>
      <c r="D24" s="55"/>
      <c r="E24" s="55"/>
      <c r="F24" s="55"/>
      <c r="G24" s="55"/>
      <c r="H24" s="55"/>
      <c r="I24" s="55"/>
      <c r="J24" s="55"/>
      <c r="K24" s="55"/>
      <c r="L24" s="55"/>
      <c r="M24" s="5"/>
      <c r="N24" s="5"/>
      <c r="O24" s="5"/>
      <c r="P24" s="5"/>
    </row>
    <row r="25" spans="3:16" ht="15.75" thickBot="1" x14ac:dyDescent="0.3">
      <c r="C25" s="14"/>
      <c r="D25" s="56" t="s">
        <v>32</v>
      </c>
      <c r="E25" s="57"/>
      <c r="F25" s="58"/>
      <c r="G25" s="56" t="s">
        <v>31</v>
      </c>
      <c r="H25" s="57"/>
      <c r="I25" s="58"/>
      <c r="J25" s="56" t="s">
        <v>36</v>
      </c>
      <c r="K25" s="57"/>
      <c r="L25" s="58"/>
      <c r="M25" s="6"/>
      <c r="N25" s="4"/>
      <c r="O25" s="4"/>
      <c r="P25" s="4"/>
    </row>
    <row r="26" spans="3:16" x14ac:dyDescent="0.25">
      <c r="C26" s="15" t="s">
        <v>25</v>
      </c>
      <c r="D26" s="41">
        <f>D3/(awwthirty*8.3454)</f>
        <v>45.267785579813761</v>
      </c>
      <c r="E26" s="63" t="s">
        <v>20</v>
      </c>
      <c r="F26" s="64"/>
      <c r="G26" s="41">
        <f>D3/(D5*8.3454)</f>
        <v>271.60671347888263</v>
      </c>
      <c r="H26" s="21" t="s">
        <v>33</v>
      </c>
      <c r="I26" s="22"/>
      <c r="J26" s="41">
        <f>D3/(eighteenc*8.3454)</f>
        <v>108.64268539155303</v>
      </c>
      <c r="K26" s="21"/>
      <c r="L26" s="22"/>
      <c r="M26" s="4"/>
      <c r="N26" s="4"/>
      <c r="O26" s="4"/>
      <c r="P26" s="4"/>
    </row>
    <row r="27" spans="3:16" x14ac:dyDescent="0.25">
      <c r="C27" s="15" t="s">
        <v>26</v>
      </c>
      <c r="D27" s="39">
        <v>1</v>
      </c>
      <c r="E27" s="65" t="s">
        <v>21</v>
      </c>
      <c r="F27" s="66"/>
      <c r="G27" s="42">
        <f>D27</f>
        <v>1</v>
      </c>
      <c r="H27" s="2" t="s">
        <v>21</v>
      </c>
      <c r="I27" s="16"/>
      <c r="J27" s="40">
        <f>G27</f>
        <v>1</v>
      </c>
      <c r="K27" s="2" t="s">
        <v>21</v>
      </c>
      <c r="L27" s="16"/>
      <c r="M27" s="4"/>
      <c r="N27" s="4"/>
      <c r="O27" s="4"/>
      <c r="P27" s="4"/>
    </row>
    <row r="28" spans="3:16" ht="18" x14ac:dyDescent="0.35">
      <c r="C28" s="15" t="s">
        <v>22</v>
      </c>
      <c r="D28" s="39">
        <v>0.12</v>
      </c>
      <c r="E28" s="65" t="s">
        <v>23</v>
      </c>
      <c r="F28" s="66"/>
      <c r="G28" s="40">
        <f>D28</f>
        <v>0.12</v>
      </c>
      <c r="H28" s="2" t="s">
        <v>23</v>
      </c>
      <c r="I28" s="16"/>
      <c r="J28" s="40">
        <f>G28</f>
        <v>0.12</v>
      </c>
      <c r="K28" s="2" t="s">
        <v>23</v>
      </c>
      <c r="L28" s="16"/>
      <c r="M28" s="4"/>
      <c r="N28" s="4"/>
      <c r="O28" s="4"/>
      <c r="P28" s="4"/>
    </row>
    <row r="29" spans="3:16" x14ac:dyDescent="0.25">
      <c r="C29" s="15" t="s">
        <v>24</v>
      </c>
      <c r="D29" s="40">
        <v>1.037155</v>
      </c>
      <c r="E29" s="65"/>
      <c r="F29" s="66"/>
      <c r="G29" s="40">
        <f>D29</f>
        <v>1.037155</v>
      </c>
      <c r="H29" s="2"/>
      <c r="I29" s="16"/>
      <c r="J29" s="40">
        <f>G29</f>
        <v>1.037155</v>
      </c>
      <c r="K29" s="2"/>
      <c r="L29" s="16"/>
      <c r="M29" s="4"/>
      <c r="N29" s="4"/>
      <c r="O29" s="4"/>
      <c r="P29" s="4"/>
    </row>
    <row r="30" spans="3:16" ht="18.75" thickBot="1" x14ac:dyDescent="0.4">
      <c r="C30" s="15" t="s">
        <v>27</v>
      </c>
      <c r="D30" s="38">
        <f>D28*D29^(D27-20)</f>
        <v>6.0000048853525625E-2</v>
      </c>
      <c r="E30" s="67" t="s">
        <v>37</v>
      </c>
      <c r="F30" s="68"/>
      <c r="G30" s="38">
        <f>G28*G29^(G27-20)</f>
        <v>6.0000048853525625E-2</v>
      </c>
      <c r="H30" s="10" t="s">
        <v>37</v>
      </c>
      <c r="I30" s="17"/>
      <c r="J30" s="38">
        <f>J28*J29^(J27-20)</f>
        <v>6.0000048853525625E-2</v>
      </c>
      <c r="K30" s="10" t="s">
        <v>37</v>
      </c>
      <c r="L30" s="17"/>
      <c r="M30" s="4"/>
      <c r="N30" s="4"/>
      <c r="O30" s="4"/>
      <c r="P30" s="4"/>
    </row>
    <row r="31" spans="3:16" ht="15.75" thickBot="1" x14ac:dyDescent="0.3">
      <c r="C31" s="6"/>
      <c r="D31" s="4"/>
      <c r="E31" s="6"/>
      <c r="F31" s="6"/>
      <c r="G31" s="20"/>
      <c r="H31" s="4"/>
      <c r="I31" s="4"/>
      <c r="J31" s="4"/>
      <c r="K31" s="4"/>
      <c r="L31" s="4"/>
      <c r="M31" s="4"/>
      <c r="N31" s="4"/>
      <c r="O31" s="4"/>
      <c r="P31" s="4"/>
    </row>
    <row r="32" spans="3:16" ht="15.75" thickBot="1" x14ac:dyDescent="0.3">
      <c r="C32" s="19" t="s">
        <v>0</v>
      </c>
      <c r="D32" s="25" t="s">
        <v>28</v>
      </c>
      <c r="E32" s="26" t="s">
        <v>29</v>
      </c>
      <c r="F32" s="26" t="s">
        <v>30</v>
      </c>
      <c r="G32" s="26" t="s">
        <v>28</v>
      </c>
      <c r="H32" s="26" t="s">
        <v>29</v>
      </c>
      <c r="I32" s="26" t="s">
        <v>30</v>
      </c>
      <c r="J32" s="26" t="s">
        <v>28</v>
      </c>
      <c r="K32" s="26" t="s">
        <v>29</v>
      </c>
      <c r="L32" s="27" t="s">
        <v>30</v>
      </c>
      <c r="M32" s="4"/>
      <c r="N32" s="4"/>
      <c r="O32" s="4"/>
      <c r="P32" s="4"/>
    </row>
    <row r="33" spans="3:16" x14ac:dyDescent="0.25">
      <c r="C33" s="18">
        <v>1</v>
      </c>
      <c r="D33" s="43">
        <f>1/(1+2.3*D30*L16)</f>
        <v>0.69721185073525671</v>
      </c>
      <c r="E33" s="32">
        <f>D33*D26</f>
        <v>31.561236562788718</v>
      </c>
      <c r="F33" s="44">
        <f>E33*awwthirty*8.3454</f>
        <v>118.52601462499364</v>
      </c>
      <c r="G33" s="43">
        <f>1/(1+2.3*G30*(J16/D5))</f>
        <v>0.27733821958804339</v>
      </c>
      <c r="H33" s="32">
        <f>G26*G33</f>
        <v>75.326922344393139</v>
      </c>
      <c r="I33" s="44">
        <f>H33*D5*8.3454</f>
        <v>47.147497329967379</v>
      </c>
      <c r="J33" s="43">
        <f>1/(1+2.3*J30*K16)</f>
        <v>0.48964827694266194</v>
      </c>
      <c r="K33" s="32">
        <f>J26*J33</f>
        <v>53.196703704397649</v>
      </c>
      <c r="L33" s="44">
        <f>K33*eighteenc*8.3454</f>
        <v>83.240207080252532</v>
      </c>
      <c r="M33" s="4"/>
      <c r="N33" s="4"/>
      <c r="O33" s="4"/>
      <c r="P33" s="4"/>
    </row>
    <row r="34" spans="3:16" x14ac:dyDescent="0.25">
      <c r="C34" s="15">
        <v>2</v>
      </c>
      <c r="D34" s="40">
        <f>1/(1+2.3*D30*L17)</f>
        <v>0.74031134805522403</v>
      </c>
      <c r="E34" s="34">
        <f>E33*D34</f>
        <v>23.36514158608794</v>
      </c>
      <c r="F34" s="45">
        <f>E34*awwthirty*8.3454</f>
        <v>87.746153666642229</v>
      </c>
      <c r="G34" s="40">
        <f>1/(1+2.3*G30*(J17/D5))</f>
        <v>0.32209250540479301</v>
      </c>
      <c r="H34" s="34">
        <f>H33*G34</f>
        <v>24.26223714233787</v>
      </c>
      <c r="I34" s="45">
        <f>H34*D5*8.3454</f>
        <v>15.185855538574984</v>
      </c>
      <c r="J34" s="40">
        <f>1/(1+2.3*J30*K17)</f>
        <v>0.54292375484788369</v>
      </c>
      <c r="K34" s="34">
        <f>K33*J34</f>
        <v>28.881754120721894</v>
      </c>
      <c r="L34" s="45">
        <f>K34*eighteenc*8.3454</f>
        <v>45.193085782326094</v>
      </c>
      <c r="M34" s="4"/>
      <c r="N34" s="4"/>
      <c r="O34" s="4"/>
      <c r="P34" s="4"/>
    </row>
    <row r="35" spans="3:16" x14ac:dyDescent="0.25">
      <c r="C35" s="15">
        <v>3</v>
      </c>
      <c r="D35" s="40">
        <f>1/(1+2.3*D30*L18)</f>
        <v>1</v>
      </c>
      <c r="E35" s="34">
        <f>E34*D35</f>
        <v>23.36514158608794</v>
      </c>
      <c r="F35" s="45">
        <f>E35*awwthirty*8.3454</f>
        <v>87.746153666642229</v>
      </c>
      <c r="G35" s="40">
        <f>1/(1+2.3*G30*(J18/D5))</f>
        <v>1</v>
      </c>
      <c r="H35" s="34">
        <f>H34*G35</f>
        <v>24.26223714233787</v>
      </c>
      <c r="I35" s="45">
        <f>H35*D5*8.3454</f>
        <v>15.185855538574984</v>
      </c>
      <c r="J35" s="40">
        <f>1/(1+2.3*J30*K18)</f>
        <v>1</v>
      </c>
      <c r="K35" s="34">
        <f t="shared" ref="K35:K37" si="1">K34*J35</f>
        <v>28.881754120721894</v>
      </c>
      <c r="L35" s="45">
        <f>K35*eighteenc*8.3454</f>
        <v>45.193085782326094</v>
      </c>
      <c r="M35" s="4"/>
      <c r="N35" s="4"/>
      <c r="O35" s="4"/>
      <c r="P35" s="4"/>
    </row>
    <row r="36" spans="3:16" x14ac:dyDescent="0.25">
      <c r="C36" s="15">
        <v>4</v>
      </c>
      <c r="D36" s="40">
        <f>1/(1+2.3*D30*L19)</f>
        <v>1</v>
      </c>
      <c r="E36" s="34">
        <f>E35*D36</f>
        <v>23.36514158608794</v>
      </c>
      <c r="F36" s="45">
        <f>E36*awwthirty*8.3454</f>
        <v>87.746153666642229</v>
      </c>
      <c r="G36" s="40">
        <f>1/(1+2.3*G30*(J19/D5))</f>
        <v>1</v>
      </c>
      <c r="H36" s="34">
        <f>H35*G36</f>
        <v>24.26223714233787</v>
      </c>
      <c r="I36" s="45">
        <f>H36*D5*8.3454</f>
        <v>15.185855538574984</v>
      </c>
      <c r="J36" s="40">
        <f>1/(1+2.3*J30*K19)</f>
        <v>1</v>
      </c>
      <c r="K36" s="34">
        <f t="shared" si="1"/>
        <v>28.881754120721894</v>
      </c>
      <c r="L36" s="45">
        <f>K36*eighteenc*8.3454</f>
        <v>45.193085782326094</v>
      </c>
      <c r="M36" s="4"/>
      <c r="N36" s="4"/>
      <c r="O36" s="4"/>
      <c r="P36" s="4"/>
    </row>
    <row r="37" spans="3:16" ht="15.75" thickBot="1" x14ac:dyDescent="0.3">
      <c r="C37" s="15" t="s">
        <v>1</v>
      </c>
      <c r="D37" s="38">
        <v>1</v>
      </c>
      <c r="E37" s="36">
        <f t="shared" ref="E37" si="2">E36*D37</f>
        <v>23.36514158608794</v>
      </c>
      <c r="F37" s="46">
        <f>E37*awwthirty*8.3454</f>
        <v>87.746153666642229</v>
      </c>
      <c r="G37" s="38">
        <v>1</v>
      </c>
      <c r="H37" s="36">
        <f>H36*G37</f>
        <v>24.26223714233787</v>
      </c>
      <c r="I37" s="46">
        <f>H37*D5*8.3454</f>
        <v>15.185855538574984</v>
      </c>
      <c r="J37" s="38">
        <v>1</v>
      </c>
      <c r="K37" s="36">
        <f t="shared" si="1"/>
        <v>28.881754120721894</v>
      </c>
      <c r="L37" s="46">
        <f>K37*eighteenc*8.3454</f>
        <v>45.193085782326094</v>
      </c>
      <c r="M37" s="4"/>
      <c r="N37" s="4"/>
      <c r="O37" s="4"/>
      <c r="P37" s="4"/>
    </row>
  </sheetData>
  <mergeCells count="12">
    <mergeCell ref="E26:F26"/>
    <mergeCell ref="E27:F27"/>
    <mergeCell ref="E28:F28"/>
    <mergeCell ref="E29:F29"/>
    <mergeCell ref="E30:F30"/>
    <mergeCell ref="C24:L24"/>
    <mergeCell ref="J25:L25"/>
    <mergeCell ref="C2:E2"/>
    <mergeCell ref="C10:E10"/>
    <mergeCell ref="C14:M14"/>
    <mergeCell ref="D25:F25"/>
    <mergeCell ref="G25:I2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4:E16"/>
  <sheetViews>
    <sheetView zoomScale="75" zoomScaleNormal="75" workbookViewId="0">
      <selection activeCell="D20" sqref="D20"/>
    </sheetView>
  </sheetViews>
  <sheetFormatPr defaultRowHeight="15" x14ac:dyDescent="0.25"/>
  <cols>
    <col min="2" max="2" width="34.5703125" customWidth="1"/>
    <col min="3" max="3" width="24.5703125" customWidth="1"/>
    <col min="4" max="4" width="36.28515625" customWidth="1"/>
    <col min="5" max="5" width="29.5703125" customWidth="1"/>
  </cols>
  <sheetData>
    <row r="4" spans="2:5" ht="15.75" thickBot="1" x14ac:dyDescent="0.3">
      <c r="B4" s="62" t="s">
        <v>42</v>
      </c>
      <c r="C4" s="62"/>
      <c r="D4" s="62"/>
      <c r="E4" s="62"/>
    </row>
    <row r="5" spans="2:5" x14ac:dyDescent="0.25">
      <c r="B5" s="28" t="s">
        <v>51</v>
      </c>
      <c r="C5" s="28">
        <f>awwthirty</f>
        <v>0.45</v>
      </c>
      <c r="D5" s="3" t="s">
        <v>40</v>
      </c>
      <c r="E5" s="70"/>
    </row>
    <row r="6" spans="2:5" ht="18" x14ac:dyDescent="0.35">
      <c r="B6" s="24" t="s">
        <v>44</v>
      </c>
      <c r="C6" s="51">
        <f>'Aerated Lagoon Calcs'!F37</f>
        <v>87.746153666642229</v>
      </c>
      <c r="D6" s="2" t="s">
        <v>38</v>
      </c>
      <c r="E6" s="71"/>
    </row>
    <row r="7" spans="2:5" x14ac:dyDescent="0.25">
      <c r="B7" s="24" t="s">
        <v>45</v>
      </c>
      <c r="C7" s="51">
        <f>MAX('Aerated Lagoon Calcs'!E37,'Aerated Lagoon Calcs'!H37,'Aerated Lagoon Calcs'!K37)</f>
        <v>28.881754120721894</v>
      </c>
      <c r="D7" s="2" t="s">
        <v>46</v>
      </c>
      <c r="E7" s="53" t="str">
        <f>IF(C7&lt;=30,"OK","Exceeds Maximum")</f>
        <v>OK</v>
      </c>
    </row>
    <row r="8" spans="2:5" x14ac:dyDescent="0.25">
      <c r="B8" s="24" t="s">
        <v>43</v>
      </c>
      <c r="C8" s="30">
        <v>36</v>
      </c>
      <c r="D8" s="2" t="s">
        <v>38</v>
      </c>
      <c r="E8" s="2"/>
    </row>
    <row r="11" spans="2:5" ht="15.75" thickBot="1" x14ac:dyDescent="0.3">
      <c r="B11" s="69" t="s">
        <v>52</v>
      </c>
      <c r="C11" s="69"/>
      <c r="D11" s="69"/>
      <c r="E11" s="69"/>
    </row>
    <row r="12" spans="2:5" x14ac:dyDescent="0.25">
      <c r="B12" s="28" t="s">
        <v>49</v>
      </c>
      <c r="C12" s="29">
        <v>0.4</v>
      </c>
      <c r="D12" s="73"/>
      <c r="E12" s="74"/>
    </row>
    <row r="13" spans="2:5" x14ac:dyDescent="0.25">
      <c r="B13" s="24" t="s">
        <v>53</v>
      </c>
      <c r="C13" s="52">
        <f>100*0.75*C6/3.75</f>
        <v>1754.9230733328445</v>
      </c>
      <c r="D13" s="2" t="s">
        <v>47</v>
      </c>
      <c r="E13" s="23" t="s">
        <v>48</v>
      </c>
    </row>
    <row r="14" spans="2:5" x14ac:dyDescent="0.25">
      <c r="B14" s="24" t="s">
        <v>54</v>
      </c>
      <c r="C14" s="52">
        <f>0.5*133680.555556*awwthirty/C12</f>
        <v>75195.312500250002</v>
      </c>
      <c r="D14" s="2" t="s">
        <v>50</v>
      </c>
      <c r="E14" s="72"/>
    </row>
    <row r="15" spans="2:5" x14ac:dyDescent="0.25">
      <c r="B15" s="24" t="s">
        <v>55</v>
      </c>
      <c r="C15" s="52">
        <f>1000*C8/0.4</f>
        <v>90000</v>
      </c>
      <c r="D15" s="2" t="s">
        <v>50</v>
      </c>
      <c r="E15" s="70"/>
    </row>
    <row r="16" spans="2:5" x14ac:dyDescent="0.25">
      <c r="B16" s="24" t="s">
        <v>56</v>
      </c>
      <c r="C16" s="52">
        <f>MAX(C14:C15)</f>
        <v>90000</v>
      </c>
      <c r="D16" s="2" t="s">
        <v>50</v>
      </c>
      <c r="E16" s="71"/>
    </row>
  </sheetData>
  <mergeCells count="5">
    <mergeCell ref="B11:E11"/>
    <mergeCell ref="B4:E4"/>
    <mergeCell ref="E5:E6"/>
    <mergeCell ref="E14:E16"/>
    <mergeCell ref="D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Aerated Lagoon Calcs</vt:lpstr>
      <vt:lpstr>SAGR Calcs</vt:lpstr>
      <vt:lpstr>awwthirty</vt:lpstr>
      <vt:lpstr>eighteenc</vt:lpstr>
    </vt:vector>
  </TitlesOfParts>
  <Company>IDNR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Bryant, Larry [DNR]</dc:creator>
  <cp:lastModifiedBy>Cswercko, Courtney [DNR]</cp:lastModifiedBy>
  <dcterms:created xsi:type="dcterms:W3CDTF">2016-05-10T18:56:50Z</dcterms:created>
  <dcterms:modified xsi:type="dcterms:W3CDTF">2024-12-18T19:41:30Z</dcterms:modified>
</cp:coreProperties>
</file>