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24226"/>
  <mc:AlternateContent xmlns:mc="http://schemas.openxmlformats.org/markup-compatibility/2006">
    <mc:Choice Requires="x15">
      <x15ac:absPath xmlns:x15ac="http://schemas.microsoft.com/office/spreadsheetml/2010/11/ac" url="M:\My Drive\Web Docs\"/>
    </mc:Choice>
  </mc:AlternateContent>
  <xr:revisionPtr revIDLastSave="0" documentId="8_{550B9C26-FCCE-4C18-A110-849C92C47247}" xr6:coauthVersionLast="36" xr6:coauthVersionMax="36" xr10:uidLastSave="{00000000-0000-0000-0000-000000000000}"/>
  <bookViews>
    <workbookView xWindow="-105" yWindow="-105" windowWidth="24495" windowHeight="15795" xr2:uid="{00000000-000D-0000-FFFF-FFFF00000000}"/>
  </bookViews>
  <sheets>
    <sheet name="DISCLAIMER" sheetId="18" r:id="rId1"/>
    <sheet name="CL_1 - Project Review" sheetId="20" r:id="rId2"/>
    <sheet name="CL_1 - Project Review (2)" sheetId="21" r:id="rId3"/>
    <sheet name="DWS_Report Form" sheetId="10" r:id="rId4"/>
    <sheet name="Step 3_Diversion" sheetId="15" r:id="rId5"/>
    <sheet name="IWS_Worksheet" sheetId="29" r:id="rId6"/>
    <sheet name="DE_1 - Design Summary" sheetId="26" r:id="rId7"/>
    <sheet name="DE_2 - Det Wtrshed Info" sheetId="23" r:id="rId8"/>
    <sheet name="DE_3 - Det Hydrology" sheetId="24" r:id="rId9"/>
    <sheet name="DE_4 - Pre-treat" sheetId="27" r:id="rId10"/>
    <sheet name="DE_5 - Final Storage Volumes" sheetId="28" r:id="rId11"/>
    <sheet name="DE_6 - Results" sheetId="25" r:id="rId12"/>
  </sheets>
  <definedNames>
    <definedName name="EA" localSheetId="3">'DWS_Report Form'!#REF!</definedName>
    <definedName name="EA" localSheetId="5">IWS_Worksheet!#REF!</definedName>
    <definedName name="EA" localSheetId="4">'Step 3_Diversion'!#REF!</definedName>
    <definedName name="EA">#REF!</definedName>
    <definedName name="_xlnm.Print_Area" localSheetId="1">'CL_1 - Project Review'!$A$1:$I$57</definedName>
    <definedName name="_xlnm.Print_Area" localSheetId="2">'CL_1 - Project Review (2)'!$A$1:$I$68</definedName>
    <definedName name="_xlnm.Print_Area" localSheetId="6">'DE_1 - Design Summary'!$A$1:$I$59</definedName>
    <definedName name="_xlnm.Print_Area" localSheetId="7">'DE_2 - Det Wtrshed Info'!$A$1:$G$54</definedName>
    <definedName name="_xlnm.Print_Area" localSheetId="8">'DE_3 - Det Hydrology'!$A$1:$H$47</definedName>
    <definedName name="_xlnm.Print_Area" localSheetId="9">'DE_4 - Pre-treat'!$A$1:$F$51</definedName>
    <definedName name="_xlnm.Print_Area" localSheetId="10">'DE_5 - Final Storage Volumes'!$A$1:$I$45</definedName>
    <definedName name="_xlnm.Print_Area" localSheetId="11">'DE_6 - Results'!$A$1:$G$43</definedName>
    <definedName name="_xlnm.Print_Area" localSheetId="0">DISCLAIMER!$A$1:$J$66</definedName>
    <definedName name="_xlnm.Print_Area" localSheetId="3">'DWS_Report Form'!$A$1:$H$70</definedName>
    <definedName name="_xlnm.Print_Area" localSheetId="5">IWS_Worksheet!$A$1:$H$37</definedName>
    <definedName name="_xlnm.Print_Area" localSheetId="4">'Step 3_Diversion'!$A$1:$H$45</definedName>
    <definedName name="Qa" localSheetId="3">'DWS_Report Form'!#REF!</definedName>
    <definedName name="Qa" localSheetId="5">IWS_Worksheet!#REF!</definedName>
    <definedName name="Qa" localSheetId="4">'Step 3_Diversion'!#REF!</definedName>
    <definedName name="Qa">#REF!</definedName>
    <definedName name="Qdd" localSheetId="3">'DWS_Report Form'!#REF!</definedName>
    <definedName name="Qdd" localSheetId="5">IWS_Worksheet!#REF!</definedName>
    <definedName name="Qdd" localSheetId="4">'Step 3_Diversion'!#REF!</definedName>
    <definedName name="Qdd">#REF!</definedName>
    <definedName name="Qroute" localSheetId="3">'DWS_Report Form'!#REF!</definedName>
    <definedName name="Qroute" localSheetId="5">IWS_Worksheet!#REF!</definedName>
    <definedName name="Qroute" localSheetId="4">'Step 3_Diversion'!#REF!</definedName>
    <definedName name="Qroute">#REF!</definedName>
  </definedNames>
  <calcPr calcId="191029"/>
</workbook>
</file>

<file path=xl/calcChain.xml><?xml version="1.0" encoding="utf-8"?>
<calcChain xmlns="http://schemas.openxmlformats.org/spreadsheetml/2006/main">
  <c r="B7" i="27" l="1"/>
  <c r="C27" i="15" l="1"/>
  <c r="G5" i="20"/>
  <c r="C57" i="10"/>
  <c r="C14" i="28" l="1"/>
  <c r="E28" i="26" s="1"/>
  <c r="C15" i="28"/>
  <c r="C16" i="28"/>
  <c r="C17" i="28"/>
  <c r="C18" i="28"/>
  <c r="C19" i="28"/>
  <c r="E30" i="24"/>
  <c r="E29" i="24"/>
  <c r="D27" i="15" l="1"/>
  <c r="E20" i="15"/>
  <c r="C28" i="15"/>
  <c r="H40" i="26"/>
  <c r="H38" i="26"/>
  <c r="F26" i="29"/>
  <c r="C20" i="15"/>
  <c r="F13" i="21"/>
  <c r="C41" i="10" a="1"/>
  <c r="C41" i="10" s="1"/>
  <c r="G43" i="25"/>
  <c r="I45" i="28"/>
  <c r="F51" i="27"/>
  <c r="H47" i="24"/>
  <c r="G54" i="23"/>
  <c r="I59" i="26"/>
  <c r="H37" i="29"/>
  <c r="H45" i="15"/>
  <c r="H70" i="10"/>
  <c r="I68" i="21"/>
  <c r="A1" i="21"/>
  <c r="B28" i="25"/>
  <c r="F14" i="29" l="1"/>
  <c r="B14" i="29" s="1"/>
  <c r="D26" i="29" s="1"/>
  <c r="F7" i="29"/>
  <c r="B7" i="29"/>
  <c r="B5" i="29"/>
  <c r="B3" i="29"/>
  <c r="C34" i="25"/>
  <c r="C33" i="25"/>
  <c r="C32" i="25"/>
  <c r="C31" i="25"/>
  <c r="C30" i="25"/>
  <c r="C29" i="25"/>
  <c r="C28" i="25"/>
  <c r="B2" i="28"/>
  <c r="B4" i="23"/>
  <c r="B4" i="24"/>
  <c r="A35" i="24"/>
  <c r="B4" i="25"/>
  <c r="B16" i="15"/>
  <c r="F7" i="15"/>
  <c r="B7" i="15"/>
  <c r="B5" i="15"/>
  <c r="B3" i="15"/>
  <c r="B5" i="26"/>
  <c r="B3" i="26"/>
  <c r="B2" i="27"/>
  <c r="I23" i="26"/>
  <c r="D23" i="26" s="1"/>
  <c r="D24" i="26" s="1"/>
  <c r="E25" i="28"/>
  <c r="D25" i="28"/>
  <c r="E24" i="28"/>
  <c r="D24" i="28"/>
  <c r="E23" i="28"/>
  <c r="D23" i="28"/>
  <c r="E22" i="28"/>
  <c r="D22" i="28"/>
  <c r="D21" i="28"/>
  <c r="E21" i="28" s="1"/>
  <c r="D20" i="28"/>
  <c r="D19" i="28"/>
  <c r="D18" i="28"/>
  <c r="D17" i="28"/>
  <c r="D16" i="28"/>
  <c r="B16" i="28"/>
  <c r="A16" i="28"/>
  <c r="A17" i="28" s="1"/>
  <c r="D15" i="28"/>
  <c r="E15" i="28" s="1"/>
  <c r="B15" i="28"/>
  <c r="B14" i="28"/>
  <c r="A7" i="28"/>
  <c r="A6" i="28"/>
  <c r="A5" i="28"/>
  <c r="D46" i="27"/>
  <c r="D45" i="27"/>
  <c r="B45" i="27"/>
  <c r="D44" i="27"/>
  <c r="B44" i="27"/>
  <c r="D43" i="27"/>
  <c r="B43" i="27"/>
  <c r="D42" i="27"/>
  <c r="B42" i="27"/>
  <c r="B41" i="27"/>
  <c r="B40" i="27"/>
  <c r="D41" i="27" s="1"/>
  <c r="E41" i="27" s="1"/>
  <c r="E42" i="27" s="1"/>
  <c r="D34" i="27"/>
  <c r="B34" i="27"/>
  <c r="D33" i="27"/>
  <c r="B33" i="27"/>
  <c r="D32" i="27"/>
  <c r="B32" i="27"/>
  <c r="D31" i="27"/>
  <c r="B31" i="27"/>
  <c r="B30" i="27"/>
  <c r="B29" i="27"/>
  <c r="D30" i="27" s="1"/>
  <c r="E30" i="27" s="1"/>
  <c r="E31" i="27" s="1"/>
  <c r="D23" i="27"/>
  <c r="B23" i="27"/>
  <c r="D22" i="27"/>
  <c r="B22" i="27"/>
  <c r="B21" i="27"/>
  <c r="D21" i="27" s="1"/>
  <c r="B20" i="27"/>
  <c r="D20" i="27" s="1"/>
  <c r="B19" i="27"/>
  <c r="B18" i="27"/>
  <c r="D19" i="27" s="1"/>
  <c r="E19" i="27" s="1"/>
  <c r="D7" i="27"/>
  <c r="D18" i="26"/>
  <c r="E18" i="26"/>
  <c r="C18" i="26"/>
  <c r="H44" i="26"/>
  <c r="H43" i="26"/>
  <c r="F41" i="26"/>
  <c r="F25" i="26"/>
  <c r="E25" i="26"/>
  <c r="D25" i="26"/>
  <c r="I12" i="26"/>
  <c r="I11" i="26"/>
  <c r="C11" i="26" l="1"/>
  <c r="B8" i="27"/>
  <c r="C12" i="26" s="1"/>
  <c r="E23" i="26"/>
  <c r="E24" i="26" s="1"/>
  <c r="F23" i="26"/>
  <c r="E16" i="28"/>
  <c r="E17" i="28" s="1"/>
  <c r="E18" i="28" s="1"/>
  <c r="E43" i="27"/>
  <c r="E44" i="27" s="1"/>
  <c r="E45" i="27" s="1"/>
  <c r="B17" i="28"/>
  <c r="A18" i="28"/>
  <c r="E20" i="27"/>
  <c r="E21" i="27" s="1"/>
  <c r="E32" i="27"/>
  <c r="E33" i="27" s="1"/>
  <c r="E34" i="27" s="1"/>
  <c r="B11" i="27" l="1"/>
  <c r="G18" i="26"/>
  <c r="F18" i="26"/>
  <c r="F24" i="26"/>
  <c r="F39" i="26"/>
  <c r="E19" i="28"/>
  <c r="E20" i="28" s="1"/>
  <c r="E22" i="27"/>
  <c r="E23" i="27" s="1"/>
  <c r="B18" i="28"/>
  <c r="A19" i="28"/>
  <c r="I18" i="26" l="1"/>
  <c r="H18" i="26"/>
  <c r="G27" i="28"/>
  <c r="E27" i="28" s="1"/>
  <c r="E31" i="26" s="1"/>
  <c r="B19" i="28"/>
  <c r="A20" i="28"/>
  <c r="D47" i="27"/>
  <c r="F12" i="26" s="1"/>
  <c r="H12" i="26" s="1"/>
  <c r="D48" i="27" l="1"/>
  <c r="F48" i="27" s="1"/>
  <c r="B20" i="28"/>
  <c r="A21" i="28"/>
  <c r="B21" i="28" l="1"/>
  <c r="A22" i="28"/>
  <c r="B22" i="28" l="1"/>
  <c r="A23" i="28"/>
  <c r="B23" i="28" l="1"/>
  <c r="A24" i="28"/>
  <c r="B24" i="28" l="1"/>
  <c r="A25" i="28"/>
  <c r="B25" i="28" s="1"/>
  <c r="F34" i="25" l="1"/>
  <c r="D34" i="25"/>
  <c r="F33" i="25"/>
  <c r="D33" i="25"/>
  <c r="F32" i="25"/>
  <c r="D32" i="25"/>
  <c r="F31" i="25"/>
  <c r="D31" i="25"/>
  <c r="F30" i="25"/>
  <c r="D30" i="25"/>
  <c r="F29" i="25"/>
  <c r="D29" i="25"/>
  <c r="F28" i="25"/>
  <c r="D28" i="25"/>
  <c r="M44" i="24"/>
  <c r="B44" i="24" s="1"/>
  <c r="B21" i="25" s="1"/>
  <c r="I17" i="26" s="1"/>
  <c r="F44" i="24"/>
  <c r="C44" i="24"/>
  <c r="M43" i="24"/>
  <c r="B43" i="24" s="1"/>
  <c r="B20" i="25" s="1"/>
  <c r="H17" i="26" s="1"/>
  <c r="F43" i="24"/>
  <c r="C43" i="24"/>
  <c r="M42" i="24"/>
  <c r="B42" i="24" s="1"/>
  <c r="B19" i="25" s="1"/>
  <c r="G17" i="26" s="1"/>
  <c r="F42" i="24"/>
  <c r="C42" i="24"/>
  <c r="M41" i="24"/>
  <c r="B41" i="24" s="1"/>
  <c r="F41" i="24"/>
  <c r="C41" i="24"/>
  <c r="M40" i="24"/>
  <c r="B40" i="24" s="1"/>
  <c r="B17" i="25" s="1"/>
  <c r="E17" i="26" s="1"/>
  <c r="F40" i="24"/>
  <c r="C40" i="24"/>
  <c r="M39" i="24"/>
  <c r="B39" i="24" s="1"/>
  <c r="B16" i="25" s="1"/>
  <c r="D17" i="26" s="1"/>
  <c r="D20" i="26" s="1"/>
  <c r="F39" i="24"/>
  <c r="C39" i="24"/>
  <c r="M38" i="24"/>
  <c r="B38" i="24" s="1"/>
  <c r="B15" i="25" s="1"/>
  <c r="C17" i="26" s="1"/>
  <c r="C20" i="26" s="1"/>
  <c r="F38" i="24"/>
  <c r="C38" i="24"/>
  <c r="E32" i="24"/>
  <c r="F48" i="23"/>
  <c r="C47" i="23"/>
  <c r="C10" i="24" s="1"/>
  <c r="C46" i="23"/>
  <c r="F32" i="23"/>
  <c r="C31" i="23"/>
  <c r="F30" i="23" s="1"/>
  <c r="D33" i="23" s="1"/>
  <c r="C30" i="23"/>
  <c r="D32" i="23" s="1"/>
  <c r="C15" i="23"/>
  <c r="C16" i="23" s="1"/>
  <c r="C9" i="25" l="1"/>
  <c r="F17" i="25" s="1"/>
  <c r="B30" i="25" s="1"/>
  <c r="F46" i="23"/>
  <c r="F9" i="24" s="1"/>
  <c r="D38" i="24"/>
  <c r="E38" i="24" s="1"/>
  <c r="G38" i="24" s="1"/>
  <c r="E28" i="25" s="1"/>
  <c r="G28" i="25" s="1"/>
  <c r="D39" i="24"/>
  <c r="E39" i="24" s="1"/>
  <c r="G39" i="24" s="1"/>
  <c r="E29" i="25" s="1"/>
  <c r="G29" i="25" s="1"/>
  <c r="D40" i="24"/>
  <c r="E40" i="24" s="1"/>
  <c r="G40" i="24" s="1"/>
  <c r="E30" i="25" s="1"/>
  <c r="G30" i="25" s="1"/>
  <c r="D41" i="24"/>
  <c r="E41" i="24" s="1"/>
  <c r="G41" i="24" s="1"/>
  <c r="E31" i="25" s="1"/>
  <c r="G31" i="25" s="1"/>
  <c r="D42" i="24"/>
  <c r="E42" i="24" s="1"/>
  <c r="G42" i="24" s="1"/>
  <c r="E32" i="25" s="1"/>
  <c r="G32" i="25" s="1"/>
  <c r="D43" i="24"/>
  <c r="E43" i="24" s="1"/>
  <c r="G43" i="24" s="1"/>
  <c r="E33" i="25" s="1"/>
  <c r="G33" i="25" s="1"/>
  <c r="D44" i="24"/>
  <c r="E44" i="24" s="1"/>
  <c r="G44" i="24" s="1"/>
  <c r="E34" i="25" s="1"/>
  <c r="G34" i="25" s="1"/>
  <c r="G20" i="26"/>
  <c r="E20" i="26"/>
  <c r="I20" i="26"/>
  <c r="F19" i="25"/>
  <c r="B32" i="25" s="1"/>
  <c r="F18" i="25"/>
  <c r="B31" i="25" s="1"/>
  <c r="B18" i="25"/>
  <c r="F17" i="26" s="1"/>
  <c r="F20" i="26" s="1"/>
  <c r="D49" i="23"/>
  <c r="D12" i="24" s="1"/>
  <c r="F31" i="23"/>
  <c r="G33" i="23"/>
  <c r="F47" i="23"/>
  <c r="G49" i="23"/>
  <c r="F11" i="24" s="1"/>
  <c r="C9" i="24"/>
  <c r="D48" i="23"/>
  <c r="D11" i="24" s="1"/>
  <c r="H44" i="24" l="1"/>
  <c r="H43" i="24"/>
  <c r="H42" i="24"/>
  <c r="H41" i="24"/>
  <c r="H40" i="24"/>
  <c r="H38" i="24"/>
  <c r="H39" i="24"/>
  <c r="F21" i="25"/>
  <c r="B34" i="25" s="1"/>
  <c r="F15" i="25"/>
  <c r="F20" i="25"/>
  <c r="B33" i="25" s="1"/>
  <c r="F16" i="25"/>
  <c r="B29" i="25" s="1"/>
  <c r="H20" i="26"/>
  <c r="F10" i="24"/>
  <c r="F7" i="10" l="1"/>
  <c r="B7" i="10"/>
  <c r="B5" i="10"/>
  <c r="B3" i="10"/>
  <c r="F23" i="21"/>
  <c r="F12" i="21"/>
  <c r="B3" i="21"/>
  <c r="F47" i="20"/>
  <c r="F31" i="20"/>
  <c r="F21" i="20"/>
  <c r="F15" i="20"/>
  <c r="F12" i="20"/>
  <c r="H12" i="20" s="1"/>
  <c r="G2" i="28" l="1"/>
  <c r="F5" i="29"/>
  <c r="G4" i="24"/>
  <c r="G4" i="23"/>
  <c r="F5" i="15"/>
  <c r="F4" i="25"/>
  <c r="E2" i="27"/>
  <c r="G5" i="26"/>
  <c r="F5" i="10"/>
  <c r="I3" i="21"/>
  <c r="F27" i="20"/>
  <c r="D32" i="15" l="1"/>
  <c r="C24" i="15"/>
  <c r="H49" i="10"/>
  <c r="F16" i="10"/>
  <c r="F17" i="10" s="1"/>
  <c r="F18" i="20" s="1"/>
  <c r="C21" i="15" l="1"/>
  <c r="G21" i="15" s="1"/>
  <c r="D33" i="15"/>
  <c r="D35" i="15" s="1"/>
  <c r="D38" i="15" s="1"/>
  <c r="D39" i="15" s="1"/>
  <c r="B26" i="29"/>
  <c r="C46" i="10"/>
  <c r="C54" i="10" s="1"/>
  <c r="F14" i="21"/>
  <c r="F24"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I12" authorId="0" shapeId="0" xr:uid="{647735B8-6E5A-4C83-BEF5-3E39C41F7B03}">
      <text>
        <r>
          <rPr>
            <sz val="9"/>
            <color indexed="81"/>
            <rFont val="Tahoma"/>
            <family val="2"/>
          </rPr>
          <t>Background CN data used for different land uses and soil types.  Not to be edited.</t>
        </r>
      </text>
    </comment>
    <comment ref="D15" authorId="0" shapeId="0" xr:uid="{4952585F-8FE1-4792-A7BB-4108A459E98F}">
      <text>
        <r>
          <rPr>
            <sz val="9"/>
            <color indexed="81"/>
            <rFont val="Tahoma"/>
            <family val="2"/>
          </rPr>
          <t>Calculates when data above is filled</t>
        </r>
      </text>
    </comment>
    <comment ref="I18" authorId="0" shapeId="0" xr:uid="{22D8B198-12B7-4969-B5D6-AC9D51DC7389}">
      <text>
        <r>
          <rPr>
            <sz val="9"/>
            <color indexed="81"/>
            <rFont val="Tahoma"/>
            <family val="2"/>
          </rPr>
          <t>If a local jurisdiction sets limits on what CN is to be used for natural conditions, it may be entered here.</t>
        </r>
      </text>
    </comment>
    <comment ref="C26" authorId="0" shapeId="0" xr:uid="{CD592B8F-FBE6-4578-9F74-D6BD05962A19}">
      <text>
        <r>
          <rPr>
            <sz val="9"/>
            <color indexed="81"/>
            <rFont val="Tahoma"/>
            <family val="2"/>
          </rPr>
          <t>Only use "other areas" to account for land uses that don't fall into "Impervious", "Open Space" or "Row Crop" areas (such as green roofs, permeable pavers).  WQv for these areas must be calculated separately and manually entered at right (or check the box below to treat these areas as impervious).</t>
        </r>
      </text>
    </comment>
    <comment ref="E28" authorId="0" shapeId="0" xr:uid="{60A186E6-08E3-4FF8-8BCA-860224139973}">
      <text>
        <r>
          <rPr>
            <sz val="9"/>
            <color indexed="81"/>
            <rFont val="Tahoma"/>
            <family val="2"/>
          </rPr>
          <t>Answer "Y" if "Other Areas" are to be treated as impervious for WQv calculations.</t>
        </r>
      </text>
    </comment>
    <comment ref="I28" authorId="0" shapeId="0" xr:uid="{A9567EEB-9912-40B3-86CF-5E9C819284E0}">
      <text>
        <r>
          <rPr>
            <sz val="9"/>
            <color indexed="81"/>
            <rFont val="Tahoma"/>
            <family val="2"/>
          </rPr>
          <t>If "Other Areas" land use is used, calculate the WQv of that area separately and enter it here.</t>
        </r>
      </text>
    </comment>
    <comment ref="D30" authorId="0" shapeId="0" xr:uid="{3F49E148-D955-461A-BA54-88339887D7FE}">
      <text>
        <r>
          <rPr>
            <sz val="9"/>
            <color indexed="81"/>
            <rFont val="Tahoma"/>
            <family val="2"/>
          </rPr>
          <t>Calculates when data above is filled</t>
        </r>
      </text>
    </comment>
    <comment ref="C42" authorId="0" shapeId="0" xr:uid="{DC5F009B-D360-4A3F-AE69-443CD9888FF4}">
      <text>
        <r>
          <rPr>
            <sz val="9"/>
            <color indexed="81"/>
            <rFont val="Tahoma"/>
            <family val="2"/>
          </rPr>
          <t>Only use "other areas" to account for land uses that don't fall into "Impervious", "Open Space" or "Row Crop" areas (such as green roofs, permeable pavers).  WQv for these areas must be calculated separately and manually entered at right  (or check the box below to treat these areas as impervious).</t>
        </r>
      </text>
    </comment>
    <comment ref="E44" authorId="0" shapeId="0" xr:uid="{82787BF0-BF31-45E1-9D2A-D24C67D53732}">
      <text>
        <r>
          <rPr>
            <sz val="9"/>
            <color indexed="81"/>
            <rFont val="Tahoma"/>
            <family val="2"/>
          </rPr>
          <t>Answer "Y" if "Other Areas" are to be treated as impervious for WQv calculations.</t>
        </r>
      </text>
    </comment>
    <comment ref="I44" authorId="0" shapeId="0" xr:uid="{B1980939-BF07-4F60-8FC9-56344B71F1E1}">
      <text>
        <r>
          <rPr>
            <sz val="9"/>
            <color indexed="81"/>
            <rFont val="Tahoma"/>
            <family val="2"/>
          </rPr>
          <t>If "Other Areas" land use is used, calculate the WQv of that area separately and enter it here.</t>
        </r>
      </text>
    </comment>
    <comment ref="D46" authorId="0" shapeId="0" xr:uid="{CD29C405-7AC8-45AD-B126-E78F2F594021}">
      <text>
        <r>
          <rPr>
            <sz val="9"/>
            <color indexed="81"/>
            <rFont val="Tahoma"/>
            <family val="2"/>
          </rPr>
          <t>Calculates when data above is filled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B20" authorId="0" shapeId="0" xr:uid="{B9B97935-7083-431E-B834-1E09BD3B66F7}">
      <text>
        <r>
          <rPr>
            <sz val="9"/>
            <color indexed="81"/>
            <rFont val="Tahoma"/>
            <family val="2"/>
          </rPr>
          <t xml:space="preserve">Enter other data from TR-55 model for all other events (1-yr thru 100-yr).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H7" authorId="0" shapeId="0" xr:uid="{66681B4C-6E6C-48B6-B6DC-CD4FF07491C6}">
      <text>
        <r>
          <rPr>
            <sz val="9"/>
            <color indexed="81"/>
            <rFont val="Tahoma"/>
            <family val="2"/>
          </rPr>
          <t>Data may be entered manually here.</t>
        </r>
      </text>
    </comment>
    <comment ref="D9" authorId="0" shapeId="0" xr:uid="{8AD5EBE0-E3E1-482C-AF55-D227EAE03BAD}">
      <text>
        <r>
          <rPr>
            <sz val="9"/>
            <color indexed="81"/>
            <rFont val="Tahoma"/>
            <family val="2"/>
          </rPr>
          <t>Example: "Vegetative buffer strip, etc."</t>
        </r>
      </text>
    </comment>
    <comment ref="B18" authorId="0" shapeId="0" xr:uid="{22A54DE0-6717-41BC-AA98-EBFAEE1FA437}">
      <text>
        <r>
          <rPr>
            <sz val="9"/>
            <color indexed="81"/>
            <rFont val="Tahoma"/>
            <family val="2"/>
          </rPr>
          <t>Enter stage-area information for each forebay here…</t>
        </r>
      </text>
    </comment>
    <comment ref="B29" authorId="0" shapeId="0" xr:uid="{51F95344-D4BC-4B64-AFC8-15A680E41A71}">
      <text>
        <r>
          <rPr>
            <sz val="9"/>
            <color indexed="81"/>
            <rFont val="Tahoma"/>
            <family val="2"/>
          </rPr>
          <t>Enter stage-area information for each forebay here…</t>
        </r>
      </text>
    </comment>
    <comment ref="B40" authorId="0" shapeId="0" xr:uid="{F81FFAAA-1123-4BF9-8A92-887E53970D8A}">
      <text>
        <r>
          <rPr>
            <sz val="9"/>
            <color indexed="81"/>
            <rFont val="Tahoma"/>
            <family val="2"/>
          </rPr>
          <t>Enter stage-area information for each forebay here…</t>
        </r>
      </text>
    </comment>
    <comment ref="D47" authorId="0" shapeId="0" xr:uid="{63A7F1AD-8EE2-450B-8052-61D780318698}">
      <text>
        <r>
          <rPr>
            <sz val="9"/>
            <color indexed="81"/>
            <rFont val="Tahoma"/>
            <family val="2"/>
          </rPr>
          <t>Enter stage-storage data above to calculate this value</t>
        </r>
      </text>
    </comment>
    <comment ref="H47" authorId="0" shapeId="0" xr:uid="{DAB79373-2534-4686-8456-C1EE45888350}">
      <text>
        <r>
          <rPr>
            <sz val="9"/>
            <color indexed="81"/>
            <rFont val="Tahoma"/>
            <family val="2"/>
          </rPr>
          <t>Data may be entered manually here.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G5" authorId="0" shapeId="0" xr:uid="{3A41981D-BDE2-45B8-88D7-CABE6B4C135C}">
      <text>
        <r>
          <rPr>
            <sz val="9"/>
            <color indexed="81"/>
            <rFont val="Tahoma"/>
            <family val="2"/>
          </rPr>
          <t xml:space="preserve">Enter the lowest surface elevation within basin here.
</t>
        </r>
      </text>
    </comment>
    <comment ref="C14" authorId="0" shapeId="0" xr:uid="{FE3E7B8E-A234-4BF2-85E1-14DB3383F05A}">
      <text>
        <r>
          <rPr>
            <sz val="9"/>
            <color indexed="81"/>
            <rFont val="Tahoma"/>
            <family val="2"/>
          </rPr>
          <t>Enter contour area information derived from grading plan here.  Cells may be left blank as needed.</t>
        </r>
      </text>
    </comment>
    <comment ref="A15" authorId="0" shapeId="0" xr:uid="{8C499C4B-5DF2-4BCF-A622-F443CB9B51DF}">
      <text>
        <r>
          <rPr>
            <sz val="9"/>
            <color indexed="81"/>
            <rFont val="Tahoma"/>
            <family val="2"/>
          </rPr>
          <t>Data may be entered at any interval the user wishes to use, although generally 0.5 or 1.0 foot increments are recommended.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<sst xmlns="http://schemas.openxmlformats.org/spreadsheetml/2006/main" count="672" uniqueCount="416">
  <si>
    <t>Date:</t>
  </si>
  <si>
    <t>Project:</t>
  </si>
  <si>
    <t>cfs</t>
  </si>
  <si>
    <t>(cfs)</t>
  </si>
  <si>
    <t>(CF)</t>
  </si>
  <si>
    <t>CF</t>
  </si>
  <si>
    <t>Storm Event</t>
  </si>
  <si>
    <t>qo</t>
  </si>
  <si>
    <t>qi</t>
  </si>
  <si>
    <t>qo/qi</t>
  </si>
  <si>
    <t>Vs/Vr</t>
  </si>
  <si>
    <t>Vr</t>
  </si>
  <si>
    <t>Vs</t>
  </si>
  <si>
    <t>acres</t>
  </si>
  <si>
    <t>inches</t>
  </si>
  <si>
    <t>feet</t>
  </si>
  <si>
    <t>Step 1.   Compute the required WQv treatment volume.</t>
  </si>
  <si>
    <t>Impervious Area (%):</t>
  </si>
  <si>
    <t>%</t>
  </si>
  <si>
    <t>WQv precipitation:</t>
  </si>
  <si>
    <t>Rv:</t>
  </si>
  <si>
    <t>WQv:</t>
  </si>
  <si>
    <t>Step 2.   Compute the peak runoff rates for other key rainfall events.</t>
  </si>
  <si>
    <t>Step 3.   Identify if the bioretention system is intended to be an on-line or off-line system.</t>
  </si>
  <si>
    <t>On-line or off-line system:</t>
  </si>
  <si>
    <t>Step 4.   Select, locate and size pretreatment practices.</t>
  </si>
  <si>
    <t>Type of pretreatment:</t>
  </si>
  <si>
    <t>Step 5.   Review entrance designs.</t>
  </si>
  <si>
    <t>Step 6.   Select desired WQv event ponding depth.</t>
  </si>
  <si>
    <t>ponding depth:</t>
  </si>
  <si>
    <t>Step 7.   Design cross-sectional elements.</t>
  </si>
  <si>
    <t>mulch layer depth:</t>
  </si>
  <si>
    <t>modified soil layer depth:</t>
  </si>
  <si>
    <t>total depth:</t>
  </si>
  <si>
    <t>Step 8.   Calculate the recommended footprint of WQ ponding area.</t>
  </si>
  <si>
    <t>drain time (tf):</t>
  </si>
  <si>
    <t>coefficient of permeability (k):</t>
  </si>
  <si>
    <t>day</t>
  </si>
  <si>
    <t>ponding area (Af):</t>
  </si>
  <si>
    <t>preliminary dimensions:</t>
  </si>
  <si>
    <t>=</t>
  </si>
  <si>
    <t>Step 10.   Subdrain system design.</t>
  </si>
  <si>
    <t>subdrain size:</t>
  </si>
  <si>
    <t>Step 11.   Staged outlet design for on-line systems.</t>
  </si>
  <si>
    <t>Step 12.   System outlet and overland spillway design considerations.</t>
  </si>
  <si>
    <t>CN</t>
  </si>
  <si>
    <t>Peak rate</t>
  </si>
  <si>
    <t>Volume</t>
  </si>
  <si>
    <t>Developed</t>
  </si>
  <si>
    <t>(min)</t>
  </si>
  <si>
    <t>Rainfall</t>
  </si>
  <si>
    <t>Post-developed</t>
  </si>
  <si>
    <t>2-year</t>
  </si>
  <si>
    <t>5-year</t>
  </si>
  <si>
    <t>10-year</t>
  </si>
  <si>
    <t>25-year</t>
  </si>
  <si>
    <t>50-year</t>
  </si>
  <si>
    <t>100-year</t>
  </si>
  <si>
    <t>WQv Peak Rate Calculations</t>
  </si>
  <si>
    <t xml:space="preserve">WQv </t>
  </si>
  <si>
    <t>Adjusted</t>
  </si>
  <si>
    <t>Step 3a.   Size outlet pipe to bioretention practice.</t>
  </si>
  <si>
    <t>area</t>
  </si>
  <si>
    <t>square feet</t>
  </si>
  <si>
    <t>velocity</t>
  </si>
  <si>
    <t>fps</t>
  </si>
  <si>
    <t>&lt; should be less than 10 fps</t>
  </si>
  <si>
    <t>Step 3b.   Set diversion weir elevation.</t>
  </si>
  <si>
    <t>Step 3c.   Set diversion weir width.</t>
  </si>
  <si>
    <t>Q10</t>
  </si>
  <si>
    <t>Qwqv</t>
  </si>
  <si>
    <t>weir length</t>
  </si>
  <si>
    <t>Step 3d.   Double check flow through the diversion pipe to the practice during the maximum storm event.</t>
  </si>
  <si>
    <t>cubic feet</t>
  </si>
  <si>
    <t>A</t>
  </si>
  <si>
    <t>B</t>
  </si>
  <si>
    <t>D</t>
  </si>
  <si>
    <t>Project Name</t>
  </si>
  <si>
    <t>Applicant:</t>
  </si>
  <si>
    <t>Applicant name</t>
  </si>
  <si>
    <t>Submitted by:</t>
  </si>
  <si>
    <t>Designer name</t>
  </si>
  <si>
    <t>Location:</t>
  </si>
  <si>
    <t>Enter City or County</t>
  </si>
  <si>
    <t>Provide project information above and in colored blank fields below</t>
  </si>
  <si>
    <t>Design Review Checklist for Bioretention Cells</t>
  </si>
  <si>
    <t>Refer to ISWMM Chapter 5, Section 4 for additional information</t>
  </si>
  <si>
    <t>Complete information for Steps 1 - 12 below, as applicable.</t>
  </si>
  <si>
    <t>Step 9.   Design surface geometry of WQv ponding area. (Dimensions below may be entered for preliminary sizing.)</t>
  </si>
  <si>
    <t>minimum length of subdrain:</t>
  </si>
  <si>
    <t>length of subdrain provided:</t>
  </si>
  <si>
    <t>Iowa Bioretention Cell Review Checklist</t>
  </si>
  <si>
    <t>C</t>
  </si>
  <si>
    <t>(Y or N)</t>
  </si>
  <si>
    <t>N</t>
  </si>
  <si>
    <t>Page 1</t>
  </si>
  <si>
    <t>(Project Review)</t>
  </si>
  <si>
    <t>Project Review Questions</t>
  </si>
  <si>
    <t>1. Has drainage area information been entered on Tab DWS (Report Form)?</t>
  </si>
  <si>
    <t>Yes</t>
  </si>
  <si>
    <t>No</t>
  </si>
  <si>
    <t>-</t>
  </si>
  <si>
    <t>Page 3</t>
  </si>
  <si>
    <t>(Project Review, page 2)</t>
  </si>
  <si>
    <t>Page 4</t>
  </si>
  <si>
    <t>3. Total WQv to be treated by the bioretention cell?</t>
  </si>
  <si>
    <t>final proposed surface area:</t>
  </si>
  <si>
    <t>SF</t>
  </si>
  <si>
    <t>4a. What Is the proposed surface area of the bioretention cell?</t>
  </si>
  <si>
    <t>5. What is the proposed WQv ponding depth above the level surface of the bioretention cell? (Any surface inlets or overflows should be set above the ponding depth.)</t>
  </si>
  <si>
    <t>Sand</t>
  </si>
  <si>
    <t>Topsoil</t>
  </si>
  <si>
    <t>Compost</t>
  </si>
  <si>
    <t>Total</t>
  </si>
  <si>
    <t>Shredded hardwood mulch</t>
  </si>
  <si>
    <t>(quantity)</t>
  </si>
  <si>
    <t>(units)</t>
  </si>
  <si>
    <t>(see step 10 of DWS_Report Form)</t>
  </si>
  <si>
    <t>N/A</t>
  </si>
  <si>
    <t>(Make sure runoff can enter in a non-erosive manner. Provide separate calculations, as applicable.)</t>
  </si>
  <si>
    <t>2. Has the impervious % of the watershed area to the bioretention cell been entered on Tab DWS (Report Form)?</t>
  </si>
  <si>
    <t>DWS_Report Form</t>
  </si>
  <si>
    <t>Page 2</t>
  </si>
  <si>
    <t>cubic feet per second (cfs)</t>
  </si>
  <si>
    <t>feet / day</t>
  </si>
  <si>
    <t>length (feet)</t>
  </si>
  <si>
    <t xml:space="preserve">width (feet)      x </t>
  </si>
  <si>
    <t>Cell Sizing and Design Calculations</t>
  </si>
  <si>
    <t>This page is to be used if storage provided under paver system is being used to provide detention of storms larger than the WQv event and discharge through a subdrain or outlet pipe is expected to occur during the design event (runoff is not 100% infiltrated into subsoil layers). In such a case, detention routing is needed to verify maximum storage levels and release rates.</t>
  </si>
  <si>
    <t>Provide information in colored blank fields below (other information populates from data entry sheets)</t>
  </si>
  <si>
    <t>Unified Sizing Criteria</t>
  </si>
  <si>
    <t>Manual Entry</t>
  </si>
  <si>
    <t>WQv</t>
  </si>
  <si>
    <t>Required:</t>
  </si>
  <si>
    <t>WQv Required (CF)</t>
  </si>
  <si>
    <t>CPv (1-yr)</t>
  </si>
  <si>
    <t>2-yr</t>
  </si>
  <si>
    <t>5-yr</t>
  </si>
  <si>
    <t>10-yr</t>
  </si>
  <si>
    <t>25-yr</t>
  </si>
  <si>
    <t>50-yr</t>
  </si>
  <si>
    <t>100-yr</t>
  </si>
  <si>
    <t>Allowed Release</t>
  </si>
  <si>
    <t>Predicted Outflow</t>
  </si>
  <si>
    <t>Criteria Met?</t>
  </si>
  <si>
    <t>Other Information</t>
  </si>
  <si>
    <t>Required for review</t>
  </si>
  <si>
    <t>Provided?                   (Y or N)</t>
  </si>
  <si>
    <t>Inlet / outlet details</t>
  </si>
  <si>
    <t>Outfall protection calcs</t>
  </si>
  <si>
    <t>Design calculations following ISWMM procedure</t>
  </si>
  <si>
    <t>Plans and specifications</t>
  </si>
  <si>
    <t>Page 5</t>
  </si>
  <si>
    <t>Detention Watershed Data Entry Sheet</t>
  </si>
  <si>
    <t>Watershed Properties</t>
  </si>
  <si>
    <t>Enter Data in Gray Fields</t>
  </si>
  <si>
    <t>Natural Condition Watershed Area</t>
  </si>
  <si>
    <t>HSG</t>
  </si>
  <si>
    <t>(area in acres)</t>
  </si>
  <si>
    <t>Meadow in Good Condition</t>
  </si>
  <si>
    <t>Total Watershed Area:</t>
  </si>
  <si>
    <t>WQv precip:</t>
  </si>
  <si>
    <t>CN for modeling natural conditions:</t>
  </si>
  <si>
    <t>Natural Condition CN</t>
  </si>
  <si>
    <t>Existing Watershed Area</t>
  </si>
  <si>
    <t>Open space / Row Crop CNs</t>
  </si>
  <si>
    <t>Impervious*</t>
  </si>
  <si>
    <t>Open Space (w/8" SQR)</t>
  </si>
  <si>
    <t>Open Space (w/4" SQR)</t>
  </si>
  <si>
    <t>Open Space (&lt;4" SQR)</t>
  </si>
  <si>
    <t>Row Crops (C+CR, good condition)</t>
  </si>
  <si>
    <t>Unique Areas</t>
  </si>
  <si>
    <t>CN of Unique Areas**</t>
  </si>
  <si>
    <t>"Unique Areas" Counted as 100% Impervious for WQv calculation?</t>
  </si>
  <si>
    <t>(Y/N)</t>
  </si>
  <si>
    <t>WQv Required for Other Areas (CF)</t>
  </si>
  <si>
    <t>CN for most events:</t>
  </si>
  <si>
    <t>Adjusted CN (for WQv event modeling):</t>
  </si>
  <si>
    <t>Qa:</t>
  </si>
  <si>
    <t>Proposed Watershed Area</t>
  </si>
  <si>
    <t>Open Space (w/&gt;=8" SQR)</t>
  </si>
  <si>
    <t>Open Space (w/&gt;=4" SQR, &lt;8")</t>
  </si>
  <si>
    <t>Effective Impervious Area:</t>
  </si>
  <si>
    <t>* Do not include any impervious areas that are included as "Unique Areas" (e.g. green roofs, etc.)</t>
  </si>
  <si>
    <t>** Provide calculations of weighted CNs for "Unique Areas" if more than one land use type</t>
  </si>
  <si>
    <t>DE_2 - Detention Watershed Information</t>
  </si>
  <si>
    <t>Page 6</t>
  </si>
  <si>
    <t>Hydrology Data Entry Sheet</t>
  </si>
  <si>
    <t>Water Quality Volume</t>
  </si>
  <si>
    <t>watershed-inches</t>
  </si>
  <si>
    <t>Adjusted CN (for WQv modeling):</t>
  </si>
  <si>
    <t>Model Output (Flow to BMP Location)</t>
  </si>
  <si>
    <t>Enter values in colored cells from model data input / output</t>
  </si>
  <si>
    <t>Natural</t>
  </si>
  <si>
    <t>Existing</t>
  </si>
  <si>
    <t>CPv</t>
  </si>
  <si>
    <t>Extended Detention Metrics:</t>
  </si>
  <si>
    <t>qu:</t>
  </si>
  <si>
    <t>csm/in</t>
  </si>
  <si>
    <t>qo/qi:</t>
  </si>
  <si>
    <t>(From ISWMM Small Storm Hydrology Figure)</t>
  </si>
  <si>
    <t>qo:</t>
  </si>
  <si>
    <t>Initial Storage Estimation</t>
  </si>
  <si>
    <t>Vs *FS</t>
  </si>
  <si>
    <t>Allowable Release</t>
  </si>
  <si>
    <t>Factor of Safety (FS) =</t>
  </si>
  <si>
    <t>DE_3 - Detention Hydrology</t>
  </si>
  <si>
    <t>Page 7</t>
  </si>
  <si>
    <t>EXAMPLE OF FIGURE FROM SMALL STORM HYDROLOGY SECTION TO BE USED TO DETERMINE (qo/qi)</t>
  </si>
  <si>
    <t>For a better version of this graph, go to ISWMM….</t>
  </si>
  <si>
    <t>Attach a separate version with the calcs…</t>
  </si>
  <si>
    <t>Routing Results Data Entry Sheet</t>
  </si>
  <si>
    <t>&lt; Date</t>
  </si>
  <si>
    <t>Enter values in grey from TR-55 routing output</t>
  </si>
  <si>
    <t>Underground Detention Performance Table</t>
  </si>
  <si>
    <t>Allowed</t>
  </si>
  <si>
    <t>Out</t>
  </si>
  <si>
    <t>High Water Elevation</t>
  </si>
  <si>
    <t>(feet)</t>
  </si>
  <si>
    <t>(watershed-inches)</t>
  </si>
  <si>
    <t>1-year (CPv)</t>
  </si>
  <si>
    <t>Underground Detention Metrics Table</t>
  </si>
  <si>
    <t> </t>
  </si>
  <si>
    <t>Max. Rainfall Volume Stored</t>
  </si>
  <si>
    <t>Peak Delay In vs. Out</t>
  </si>
  <si>
    <t>Peak Flow Reduction In vs. Out</t>
  </si>
  <si>
    <t>Initial Storage Estimate*</t>
  </si>
  <si>
    <t>Final Storage Routing Result</t>
  </si>
  <si>
    <t>Final / Estimate</t>
  </si>
  <si>
    <t>Reduction</t>
  </si>
  <si>
    <t>In vs. Out</t>
  </si>
  <si>
    <t>Event</t>
  </si>
  <si>
    <t>(%)</t>
  </si>
  <si>
    <t>CPv (1-year)</t>
  </si>
  <si>
    <t>*Original "Vs" Storage Estimate Without Safety Factor</t>
  </si>
  <si>
    <t>Page 8</t>
  </si>
  <si>
    <t>Pretreatment Volume</t>
  </si>
  <si>
    <t>Provided:</t>
  </si>
  <si>
    <t>Pretreatment Required (CF)</t>
  </si>
  <si>
    <t>* Includes pre-treatment required volume (if requirements met)</t>
  </si>
  <si>
    <t>WQv treated by other BMPs</t>
  </si>
  <si>
    <t>Lowest basin elevation</t>
  </si>
  <si>
    <t>Normal pool elevation</t>
  </si>
  <si>
    <t>**</t>
  </si>
  <si>
    <t>CPv elevation</t>
  </si>
  <si>
    <t>10-year elevation</t>
  </si>
  <si>
    <t>100-year elevation</t>
  </si>
  <si>
    <t>of watershed area</t>
  </si>
  <si>
    <t>***based on highest area listed in Temporary Storage stage-storage data tables</t>
  </si>
  <si>
    <t>Temporary Storage</t>
  </si>
  <si>
    <t>acre-feet</t>
  </si>
  <si>
    <t>Dam Crest Elevation</t>
  </si>
  <si>
    <t>Auxiliary Spillway Crest Elevation</t>
  </si>
  <si>
    <t>Maximum slope below 1-year (CPv) high water elevation</t>
  </si>
  <si>
    <t>H:V slope</t>
  </si>
  <si>
    <t>Maximum surface slope (overall)</t>
  </si>
  <si>
    <t>Height of dam (measured on downstream face)</t>
  </si>
  <si>
    <t>Landscaping plan (temporary and permanent stabilization)</t>
  </si>
  <si>
    <t>Establishment and maintenance plan</t>
  </si>
  <si>
    <t>Is a Joint Permit Application to IDNR / USCOE required?</t>
  </si>
  <si>
    <t>Has it been obtained?</t>
  </si>
  <si>
    <t>Completed IDNR Form 542-1014</t>
  </si>
  <si>
    <t>Dam review required?</t>
  </si>
  <si>
    <t>**Reference ISWMM Section 9.12-3</t>
  </si>
  <si>
    <t>Predicted high water elev above bioretention cell surface (ft)</t>
  </si>
  <si>
    <t>Pretreatment Data Entry Sheet</t>
  </si>
  <si>
    <t>Step 4.   Determine pre-treatment measures</t>
  </si>
  <si>
    <t>Pretreatment Calculations</t>
  </si>
  <si>
    <t>Enter values in blue</t>
  </si>
  <si>
    <t>WQv Required</t>
  </si>
  <si>
    <t>WQv required</t>
  </si>
  <si>
    <t>Pretreat Req.</t>
  </si>
  <si>
    <t>Describe other pre-treatment measures (below)</t>
  </si>
  <si>
    <t>Pretreatment required</t>
  </si>
  <si>
    <t>Pretreat by Other Practices</t>
  </si>
  <si>
    <t>Forebay Required Volume</t>
  </si>
  <si>
    <t xml:space="preserve"> </t>
  </si>
  <si>
    <t>Storage Calculation Sheets</t>
  </si>
  <si>
    <t>Forebay #1 Storage</t>
  </si>
  <si>
    <t>Forebay Pool Elevation=</t>
  </si>
  <si>
    <t>Depth Below Pool</t>
  </si>
  <si>
    <t>Elevation</t>
  </si>
  <si>
    <t>Contour Area</t>
  </si>
  <si>
    <t>Inc. Volume</t>
  </si>
  <si>
    <t>Cumulative Volume</t>
  </si>
  <si>
    <t>Forebay #2 Storage</t>
  </si>
  <si>
    <t>Forebay #3 Storage</t>
  </si>
  <si>
    <t>Total Forebay Storage</t>
  </si>
  <si>
    <t>Forebay Storage</t>
  </si>
  <si>
    <t>Forebay Capacity</t>
  </si>
  <si>
    <t>of Req.</t>
  </si>
  <si>
    <t>Steps 5-7.  Preliminary stage-storage, refine, develop grading plan.</t>
  </si>
  <si>
    <t>Lowest Surface Elevation within Basin</t>
  </si>
  <si>
    <t>Enter values in gray related to stage-storage information</t>
  </si>
  <si>
    <t>Above W.S.</t>
  </si>
  <si>
    <t>Incremental Volume</t>
  </si>
  <si>
    <t>NA</t>
  </si>
  <si>
    <t>Total Temporary Storage</t>
  </si>
  <si>
    <t>acre-feet***</t>
  </si>
  <si>
    <t>***Excludes forebays</t>
  </si>
  <si>
    <t>Temporary Storage (Above Surface of Bioretention Cell)</t>
  </si>
  <si>
    <t>Maximum width of bioretention cell</t>
  </si>
  <si>
    <t>Maximum flow length through bioretention cell</t>
  </si>
  <si>
    <t>This page is to be used if the storage available above the surface of a bioretention cell is being used to provide detention of storms larger than the WQv event.                                                                                                                                                          In such a case, detention routing is needed to verify maximum storage levels and release rates.</t>
  </si>
  <si>
    <t>DE_5 - Final Storage Volumes</t>
  </si>
  <si>
    <t>DE_4 - Pretreatment</t>
  </si>
  <si>
    <t>(Design Worksheet Report Form)</t>
  </si>
  <si>
    <t>(Step 3 - Diversion Structure Worksheet)</t>
  </si>
  <si>
    <t>expected design storm surcharge elevation</t>
  </si>
  <si>
    <t>&lt; weir elevation above centerline of pipe or orifice</t>
  </si>
  <si>
    <t>minimum elevation head</t>
  </si>
  <si>
    <t>weir elevation provided</t>
  </si>
  <si>
    <t>flow to practice (design storm)</t>
  </si>
  <si>
    <t>projected storm bypass flow</t>
  </si>
  <si>
    <t xml:space="preserve"> target design storm bypass flow</t>
  </si>
  <si>
    <t>DE_1 - Design Summary</t>
  </si>
  <si>
    <t>Page 9</t>
  </si>
  <si>
    <t>Page 10</t>
  </si>
  <si>
    <t>Page 11</t>
  </si>
  <si>
    <t>DE_6 - Results</t>
  </si>
  <si>
    <t>(Complete worksheet DE_3 - Det Hydrology)</t>
  </si>
  <si>
    <t>off-line</t>
  </si>
  <si>
    <t>forebay</t>
  </si>
  <si>
    <t>(Complete worksheet DE_4 - Pre-treat. If practices other than forebays are used, provide separate calculations as applicable.)</t>
  </si>
  <si>
    <t>(Complete worksheet DE_6 - Results. Provide input/output information from routing model. )</t>
  </si>
  <si>
    <t>(If off-line, complete Step 3_Diversion worksheet)</t>
  </si>
  <si>
    <t>pipe or orifice size (circular shape)</t>
  </si>
  <si>
    <t>Orifice Area (sf)</t>
  </si>
  <si>
    <t>Detention Basin Metrics</t>
  </si>
  <si>
    <t>Detention Basin Topography</t>
  </si>
  <si>
    <t>(Design Summary)</t>
  </si>
  <si>
    <t>Detention Stage-Storage Data Entry Sheet</t>
  </si>
  <si>
    <t>Internal water storage systems.</t>
  </si>
  <si>
    <t>(For systems using internal water storage, complete the Internal Water Storage worksheet.)</t>
  </si>
  <si>
    <t>Step 1.   Internal Water Storage Equation 1</t>
  </si>
  <si>
    <t>x</t>
  </si>
  <si>
    <t>porosity</t>
  </si>
  <si>
    <t>Viws (CF)</t>
  </si>
  <si>
    <t>Diws (feet)</t>
  </si>
  <si>
    <t>Af (SF)</t>
  </si>
  <si>
    <t>Viws = Volume of the pore space in the IWS zone</t>
  </si>
  <si>
    <t>Diws = Depth of the IWS zone, from the bottom of the IWS zone to the flowline of the elevated subdrain or overflow outlet</t>
  </si>
  <si>
    <t>porosity = ratio of void spaces to overall volume within IWS zone</t>
  </si>
  <si>
    <t>Step 2.   Internal Water Storage Equation 2</t>
  </si>
  <si>
    <t>HRT</t>
  </si>
  <si>
    <t>Viws</t>
  </si>
  <si>
    <t>/</t>
  </si>
  <si>
    <t>( Q</t>
  </si>
  <si>
    <t>3600 )</t>
  </si>
  <si>
    <t>HRT = Hydraulic Residence Time (hours)</t>
  </si>
  <si>
    <t>Viws = Volume of the pore space in the IWS zone (cubic feet), as calculated in Step 1 above.</t>
  </si>
  <si>
    <t>Q = Design subdrain flow rate, as determined from Step 10 of the bioretention cell design procedure</t>
  </si>
  <si>
    <t>Af = Bioretention Cell Footprint from Step 8 of the bioretention cell design procedure</t>
  </si>
  <si>
    <t>3600 = conversion rate from seconds to hours</t>
  </si>
  <si>
    <t>Internal Water Storage Worksheet</t>
  </si>
  <si>
    <t>Recharge Volume to be Treated by the IWS:</t>
  </si>
  <si>
    <t>(Internal Water Storage Worksheet)</t>
  </si>
  <si>
    <t>Max. Temp. Storage</t>
  </si>
  <si>
    <t>Design Review Checklist for Bioretention Cells (Single With Detention Version)</t>
  </si>
  <si>
    <t>Design Review Checklist for Bioretention Cell Systems (Single With Detention Version)</t>
  </si>
  <si>
    <t>system percolation flow rate:</t>
  </si>
  <si>
    <t>ponding surface of the bioretention cell is</t>
  </si>
  <si>
    <t>of the upstream impervious area to be treated</t>
  </si>
  <si>
    <t>CL_1 - Project Review (continued)</t>
  </si>
  <si>
    <t>CL_1 - Project Review</t>
  </si>
  <si>
    <t>Soil Depth Above Top of IWS Zone:</t>
  </si>
  <si>
    <t>design subdrain release rate:</t>
  </si>
  <si>
    <t>(Make sure outlet area is protected from surface erosion.  Provide any applicable calculations. See project review checklist.)</t>
  </si>
  <si>
    <t>Total area draining to bioretention cell:</t>
  </si>
  <si>
    <t>ISWMM guidelines</t>
  </si>
  <si>
    <t>3 inches</t>
  </si>
  <si>
    <t>18 - 30 inches</t>
  </si>
  <si>
    <t>2 - 3 inches</t>
  </si>
  <si>
    <t>6-9 inches</t>
  </si>
  <si>
    <t>The required ponding area (Af) is the minimum area for the level infiltration surface area of the bioretention cell (not including side slopes).</t>
  </si>
  <si>
    <t>choker layer</t>
  </si>
  <si>
    <t>base layer</t>
  </si>
  <si>
    <t>total</t>
  </si>
  <si>
    <t>choker aggregate layer depth:</t>
  </si>
  <si>
    <t>base aggregate layer depth:</t>
  </si>
  <si>
    <t>(consider plugging potential when selecting minimum size)</t>
  </si>
  <si>
    <t>enter flowline elevation of orifice</t>
  </si>
  <si>
    <t>Approximate Basin to Watershed Ratio***</t>
  </si>
  <si>
    <t xml:space="preserve">4b. What was the required surface of the bioretention cell?  </t>
  </si>
  <si>
    <t>4c. Compare the proposed ponding surface area of the bioretention cell to the upstream impervious area to be treated.</t>
  </si>
  <si>
    <t>10. Is the surface of the ponding area proposed to be level from end to end and side to side?</t>
  </si>
  <si>
    <t>11. What is the depth of the aggregate materials?</t>
  </si>
  <si>
    <t>12. What is the quantity and type of stone aggregate "base" materials (provide quantity calculations)?</t>
  </si>
  <si>
    <t>13. What is the quantity and type of stone aggregate "choker" materials (provide quantity calculations)?</t>
  </si>
  <si>
    <t>14. What is the size of the perforated subdrain?</t>
  </si>
  <si>
    <t>15. Does the subdrain exceed the length calculated in Step 10 of the ISWMM procedure for bioretention cells?</t>
  </si>
  <si>
    <t>16. What is the separation distance from the nearest building foundation?</t>
  </si>
  <si>
    <t>17. Describe the outlet for the subdrain (connection to inlet, connection to manhole, surface outfall, etc.).</t>
  </si>
  <si>
    <t>18. Describe the overflow condition(s) from the bioretention cell for larger storm events (surface inlet, multi-stage inlet structure, overflow spillway, etc. - provide descriptions).</t>
  </si>
  <si>
    <t>19. Describe the types of plants to be installed within the bioretention cell (general types, spacing, etc.).</t>
  </si>
  <si>
    <t>20. Describe the size of plants to be installed within the bioretention cell (sizes of pots, plugs, etc.).</t>
  </si>
  <si>
    <t>21. Describe the quantity of plants to be installed (attach a plant list and planting plan).</t>
  </si>
  <si>
    <t xml:space="preserve">23. Describe the erosion and sediment control measures to be employed around the cell and in the contributing drainage area. </t>
  </si>
  <si>
    <t>24. Attach a map of the area expected to drain to the bioretention cell.  The map should note all impervious surfaces and show the path of flow to the bioretention cell.</t>
  </si>
  <si>
    <t>25. Attach a plan view, profile view and applicable cross-sections for proposed construction of the bioretention cell.</t>
  </si>
  <si>
    <t>26. Has supporting information been provided as applicable (calculations, drainage maps, plans, etc.)?</t>
  </si>
  <si>
    <t>bypass overflow weir elevation</t>
  </si>
  <si>
    <t>centroid of orifice</t>
  </si>
  <si>
    <t>Orifice Centroid Elevation</t>
  </si>
  <si>
    <t>22. If seeding it to be done within the bioretention cell, describe the type and quantity of seed along with the proposed application rate (attach a seed mix list).</t>
  </si>
  <si>
    <t>ISWMM guideline</t>
  </si>
  <si>
    <t>25 feet</t>
  </si>
  <si>
    <t>ISWMM guidance design range</t>
  </si>
  <si>
    <t>15 to 21 inches</t>
  </si>
  <si>
    <t>6. Discuss soils investigations findings (e.g. texture, degree of compaction, percolation potential, depth to water table, contamination, etc.). Attach related report, as applicable.</t>
  </si>
  <si>
    <t xml:space="preserve">7. Describe pretreatment techniques provided (what practice(s) were used, how were things sized, etc.)  </t>
  </si>
  <si>
    <t>8. Describe the bioretention soil media (refer to Iowa Stormwater Management Manual for soil mixes).</t>
  </si>
  <si>
    <t>9. Quantities (please attach a copy of materials calculations).</t>
  </si>
  <si>
    <t>Iowa Department of Agriculture and Land Stewardship (IDALS) - Issue date: January 12, 2023</t>
  </si>
  <si>
    <t>IDALS: Issue Date: 01/12/2023</t>
  </si>
  <si>
    <r>
      <rPr>
        <b/>
        <sz val="9"/>
        <color rgb="FFFF0000"/>
        <rFont val="Calibri"/>
        <family val="2"/>
        <scheme val="minor"/>
      </rPr>
      <t>Red Text = Area in acres</t>
    </r>
    <r>
      <rPr>
        <b/>
        <sz val="9"/>
        <color theme="1"/>
        <rFont val="Calibri"/>
        <family val="2"/>
        <scheme val="minor"/>
      </rPr>
      <t xml:space="preserve">, </t>
    </r>
    <r>
      <rPr>
        <b/>
        <sz val="9"/>
        <color rgb="FF00B050"/>
        <rFont val="Calibri"/>
        <family val="2"/>
        <scheme val="minor"/>
      </rPr>
      <t>Green Text = CN</t>
    </r>
    <r>
      <rPr>
        <b/>
        <sz val="9"/>
        <color theme="1"/>
        <rFont val="Calibri"/>
        <family val="2"/>
        <scheme val="minor"/>
      </rPr>
      <t xml:space="preserve">, </t>
    </r>
    <r>
      <rPr>
        <b/>
        <sz val="9"/>
        <color rgb="FF0070C0"/>
        <rFont val="Calibri"/>
        <family val="2"/>
        <scheme val="minor"/>
      </rPr>
      <t>Blue Text = Y or 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</si>
</sst>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0"/>
    <numFmt numFmtId="165" formatCode="0.000"/>
    <numFmt numFmtId="166" formatCode="0.0"/>
    <numFmt numFmtId="167" formatCode="General\ &quot;SF&quot;"/>
    <numFmt numFmtId="168" formatCode="0.0%"/>
    <numFmt numFmtId="169" formatCode="#,##0.0"/>
    <numFmt numFmtId="170" formatCode="_(* #,##0_);_(* \(#,##0\);_(* &quot;-&quot;??_);_(@_)"/>
  </numFmts>
  <fonts count="39" x14ac:knownFonts="1">
    <font>
      <sz val="11"/>
      <color theme="1"/>
      <name val="Calibri"/>
      <family val="2"/>
      <scheme val="minor"/>
    </font>
    <font>
      <sz val="11"/>
      <color theme="1"/>
      <name val="Calibri"/>
      <family val="2"/>
      <scheme val="minor"/>
    </font>
    <font>
      <sz val="9"/>
      <color indexed="81"/>
      <name val="Tahoma"/>
      <family val="2"/>
    </font>
    <font>
      <b/>
      <sz val="11"/>
      <color theme="0"/>
      <name val="Calibri"/>
      <family val="2"/>
      <scheme val="minor"/>
    </font>
    <font>
      <b/>
      <sz val="11"/>
      <color theme="1"/>
      <name val="Calibri"/>
      <family val="2"/>
      <scheme val="minor"/>
    </font>
    <font>
      <b/>
      <u/>
      <sz val="10"/>
      <color theme="1"/>
      <name val="Calibri"/>
      <family val="2"/>
      <scheme val="minor"/>
    </font>
    <font>
      <b/>
      <sz val="10"/>
      <color rgb="FFFF0000"/>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u/>
      <sz val="9"/>
      <color theme="1"/>
      <name val="Calibri"/>
      <family val="2"/>
      <scheme val="minor"/>
    </font>
    <font>
      <sz val="9"/>
      <name val="Calibri"/>
      <family val="2"/>
      <scheme val="minor"/>
    </font>
    <font>
      <sz val="11"/>
      <name val="Calibri"/>
      <family val="2"/>
      <scheme val="minor"/>
    </font>
    <font>
      <b/>
      <sz val="9"/>
      <color rgb="FFFF0000"/>
      <name val="Calibri"/>
      <family val="2"/>
      <scheme val="minor"/>
    </font>
    <font>
      <sz val="10"/>
      <color theme="1"/>
      <name val="Calibri"/>
      <family val="2"/>
      <scheme val="minor"/>
    </font>
    <font>
      <b/>
      <u/>
      <sz val="10"/>
      <color rgb="FFFF0000"/>
      <name val="Calibri"/>
      <family val="2"/>
      <scheme val="minor"/>
    </font>
    <font>
      <b/>
      <sz val="10"/>
      <color theme="0"/>
      <name val="Calibri"/>
      <family val="2"/>
      <scheme val="minor"/>
    </font>
    <font>
      <i/>
      <sz val="10"/>
      <color theme="1"/>
      <name val="Calibri"/>
      <family val="2"/>
      <scheme val="minor"/>
    </font>
    <font>
      <sz val="10"/>
      <color rgb="FFC00000"/>
      <name val="Calibri"/>
      <family val="2"/>
      <scheme val="minor"/>
    </font>
    <font>
      <sz val="10"/>
      <name val="Calibri"/>
      <family val="2"/>
      <scheme val="minor"/>
    </font>
    <font>
      <i/>
      <sz val="11"/>
      <color theme="1"/>
      <name val="Calibri"/>
      <family val="2"/>
      <scheme val="minor"/>
    </font>
    <font>
      <sz val="9"/>
      <color theme="8" tint="-0.249977111117893"/>
      <name val="Calibri"/>
      <family val="2"/>
      <scheme val="minor"/>
    </font>
    <font>
      <b/>
      <sz val="10"/>
      <color rgb="FF7030A0"/>
      <name val="Calibri"/>
      <family val="2"/>
      <scheme val="minor"/>
    </font>
    <font>
      <b/>
      <u/>
      <sz val="9"/>
      <color rgb="FFC00000"/>
      <name val="Calibri"/>
      <family val="2"/>
      <scheme val="minor"/>
    </font>
    <font>
      <i/>
      <sz val="8"/>
      <color theme="1"/>
      <name val="Calibri"/>
      <family val="2"/>
      <scheme val="minor"/>
    </font>
    <font>
      <sz val="8"/>
      <color theme="1"/>
      <name val="Calibri"/>
      <family val="2"/>
      <scheme val="minor"/>
    </font>
    <font>
      <i/>
      <sz val="9"/>
      <color theme="1"/>
      <name val="Calibri"/>
      <family val="2"/>
      <scheme val="minor"/>
    </font>
    <font>
      <i/>
      <sz val="7"/>
      <color theme="1"/>
      <name val="Calibri"/>
      <family val="2"/>
      <scheme val="minor"/>
    </font>
    <font>
      <sz val="8"/>
      <color rgb="FFC00000"/>
      <name val="Calibri"/>
      <family val="2"/>
      <scheme val="minor"/>
    </font>
    <font>
      <b/>
      <sz val="9"/>
      <color rgb="FF00B050"/>
      <name val="Calibri"/>
      <family val="2"/>
      <scheme val="minor"/>
    </font>
    <font>
      <b/>
      <sz val="9"/>
      <color rgb="FF0070C0"/>
      <name val="Calibri"/>
      <family val="2"/>
      <scheme val="minor"/>
    </font>
    <font>
      <sz val="9"/>
      <color rgb="FFFF0000"/>
      <name val="Calibri"/>
      <family val="2"/>
      <scheme val="minor"/>
    </font>
    <font>
      <sz val="9"/>
      <color rgb="FF00B050"/>
      <name val="Calibri"/>
      <family val="2"/>
      <scheme val="minor"/>
    </font>
    <font>
      <sz val="9"/>
      <color rgb="FF0070C0"/>
      <name val="Calibri"/>
      <family val="2"/>
      <scheme val="minor"/>
    </font>
    <font>
      <b/>
      <i/>
      <sz val="10"/>
      <color theme="1"/>
      <name val="Calibri"/>
      <family val="2"/>
      <scheme val="minor"/>
    </font>
    <font>
      <b/>
      <sz val="10"/>
      <name val="Calibri"/>
      <family val="2"/>
      <scheme val="minor"/>
    </font>
    <font>
      <sz val="11"/>
      <color theme="4"/>
      <name val="Calibri"/>
      <family val="2"/>
      <scheme val="minor"/>
    </font>
    <font>
      <b/>
      <i/>
      <sz val="9"/>
      <color theme="1"/>
      <name val="Calibri"/>
      <family val="2"/>
      <scheme val="minor"/>
    </font>
    <font>
      <sz val="9"/>
      <color theme="0" tint="-0.34998626667073579"/>
      <name val="Calibri"/>
      <family val="2"/>
      <scheme val="minor"/>
    </font>
  </fonts>
  <fills count="23">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EDEDED"/>
        <bgColor indexed="64"/>
      </patternFill>
    </fill>
    <fill>
      <patternFill patternType="solid">
        <fgColor theme="6" tint="-0.49998474074526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darkUp">
        <fgColor theme="8" tint="0.79998168889431442"/>
        <bgColor auto="1"/>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rgb="FFFFFF00"/>
        <bgColor indexed="64"/>
      </patternFill>
    </fill>
  </fills>
  <borders count="23">
    <border>
      <left/>
      <right/>
      <top/>
      <bottom/>
      <diagonal/>
    </border>
    <border>
      <left/>
      <right/>
      <top/>
      <bottom style="medium">
        <color indexed="64"/>
      </bottom>
      <diagonal/>
    </border>
    <border>
      <left/>
      <right/>
      <top style="medium">
        <color indexed="64"/>
      </top>
      <bottom style="medium">
        <color rgb="FFC00000"/>
      </bottom>
      <diagonal/>
    </border>
    <border>
      <left/>
      <right/>
      <top style="medium">
        <color indexed="64"/>
      </top>
      <bottom/>
      <diagonal/>
    </border>
    <border>
      <left/>
      <right/>
      <top/>
      <bottom style="medium">
        <color rgb="FFC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medium">
        <color rgb="FFC00000"/>
      </top>
      <bottom style="medium">
        <color rgb="FFC00000"/>
      </bottom>
      <diagonal/>
    </border>
    <border>
      <left/>
      <right/>
      <top style="medium">
        <color rgb="FFC00000"/>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top style="thin">
        <color indexed="64"/>
      </top>
      <bottom style="medium">
        <color rgb="FFC00000"/>
      </bottom>
      <diagonal/>
    </border>
    <border>
      <left/>
      <right/>
      <top style="medium">
        <color indexed="64"/>
      </top>
      <bottom style="thick">
        <color rgb="FFC00000"/>
      </bottom>
      <diagonal/>
    </border>
    <border>
      <left style="thin">
        <color auto="1"/>
      </left>
      <right style="thin">
        <color auto="1"/>
      </right>
      <top style="thin">
        <color auto="1"/>
      </top>
      <bottom style="medium">
        <color rgb="FFC00000"/>
      </bottom>
      <diagonal/>
    </border>
    <border>
      <left style="thin">
        <color auto="1"/>
      </left>
      <right style="thin">
        <color auto="1"/>
      </right>
      <top style="medium">
        <color rgb="FFC00000"/>
      </top>
      <bottom style="medium">
        <color rgb="FFC00000"/>
      </bottom>
      <diagonal/>
    </border>
    <border>
      <left/>
      <right/>
      <top/>
      <bottom style="thick">
        <color rgb="FFC00000"/>
      </bottom>
      <diagonal/>
    </border>
    <border>
      <left/>
      <right/>
      <top/>
      <bottom style="double">
        <color auto="1"/>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26">
    <xf numFmtId="0" fontId="0" fillId="0" borderId="0" xfId="0"/>
    <xf numFmtId="0" fontId="6" fillId="0" borderId="0" xfId="0" applyFont="1" applyFill="1" applyAlignment="1">
      <alignment horizontal="left"/>
    </xf>
    <xf numFmtId="0" fontId="5" fillId="0" borderId="0" xfId="0" applyFont="1"/>
    <xf numFmtId="0" fontId="8" fillId="0" borderId="0" xfId="0" applyFont="1" applyAlignment="1">
      <alignment horizontal="right"/>
    </xf>
    <xf numFmtId="0" fontId="9" fillId="0" borderId="0" xfId="0" applyFont="1" applyAlignment="1">
      <alignment horizontal="right"/>
    </xf>
    <xf numFmtId="0" fontId="8" fillId="0" borderId="0" xfId="0" applyFont="1"/>
    <xf numFmtId="0" fontId="8" fillId="0" borderId="0" xfId="0" applyFont="1" applyAlignment="1">
      <alignment horizontal="left"/>
    </xf>
    <xf numFmtId="0" fontId="9" fillId="0" borderId="0" xfId="0" applyFont="1"/>
    <xf numFmtId="14" fontId="8" fillId="0" borderId="0" xfId="0" applyNumberFormat="1" applyFont="1"/>
    <xf numFmtId="0" fontId="8" fillId="0" borderId="0" xfId="0" applyFont="1" applyAlignment="1">
      <alignment horizontal="center"/>
    </xf>
    <xf numFmtId="0" fontId="8" fillId="0" borderId="0" xfId="0" applyFont="1" applyAlignment="1">
      <alignment vertical="center"/>
    </xf>
    <xf numFmtId="16" fontId="8" fillId="0" borderId="0" xfId="0" applyNumberFormat="1" applyFont="1" applyAlignment="1">
      <alignment horizontal="center"/>
    </xf>
    <xf numFmtId="0" fontId="8" fillId="0" borderId="0" xfId="0" applyFont="1" applyAlignment="1">
      <alignment vertical="top"/>
    </xf>
    <xf numFmtId="0" fontId="8" fillId="0" borderId="0" xfId="0" applyFont="1" applyAlignment="1">
      <alignment vertical="top" wrapText="1"/>
    </xf>
    <xf numFmtId="0" fontId="8" fillId="6" borderId="0" xfId="0" applyFont="1" applyFill="1"/>
    <xf numFmtId="0" fontId="5" fillId="0" borderId="0" xfId="0" applyFont="1" applyAlignment="1">
      <alignment horizontal="center"/>
    </xf>
    <xf numFmtId="0" fontId="6" fillId="0" borderId="0" xfId="0" applyFont="1" applyFill="1" applyAlignment="1" applyProtection="1">
      <alignment horizontal="left"/>
    </xf>
    <xf numFmtId="0" fontId="8" fillId="0" borderId="0" xfId="0" applyFont="1" applyProtection="1"/>
    <xf numFmtId="0" fontId="8" fillId="0" borderId="0" xfId="0" applyFont="1" applyAlignment="1" applyProtection="1">
      <alignment horizontal="right"/>
    </xf>
    <xf numFmtId="0" fontId="9" fillId="0" borderId="0" xfId="0" applyFont="1" applyAlignment="1" applyProtection="1">
      <alignment horizontal="right"/>
    </xf>
    <xf numFmtId="0" fontId="8" fillId="0" borderId="0" xfId="0" applyFont="1" applyAlignment="1" applyProtection="1">
      <alignment horizontal="center"/>
    </xf>
    <xf numFmtId="0" fontId="8" fillId="0" borderId="0" xfId="0" applyFont="1" applyAlignment="1" applyProtection="1">
      <alignment horizontal="left"/>
    </xf>
    <xf numFmtId="0" fontId="10" fillId="0" borderId="0" xfId="0" applyFont="1" applyProtection="1"/>
    <xf numFmtId="0" fontId="9" fillId="10" borderId="0" xfId="0" applyFont="1" applyFill="1" applyProtection="1"/>
    <xf numFmtId="0" fontId="9" fillId="10" borderId="0" xfId="0" applyFont="1" applyFill="1" applyAlignment="1" applyProtection="1">
      <alignment horizontal="center"/>
    </xf>
    <xf numFmtId="0" fontId="8" fillId="10" borderId="0" xfId="0" applyFont="1" applyFill="1" applyProtection="1"/>
    <xf numFmtId="168" fontId="8" fillId="0" borderId="0" xfId="1" applyNumberFormat="1" applyFont="1" applyFill="1" applyAlignment="1" applyProtection="1">
      <alignment horizontal="center"/>
    </xf>
    <xf numFmtId="2" fontId="11" fillId="0" borderId="0" xfId="1" applyNumberFormat="1" applyFont="1" applyFill="1" applyAlignment="1" applyProtection="1">
      <alignment horizontal="center"/>
    </xf>
    <xf numFmtId="0" fontId="0" fillId="0" borderId="0" xfId="0" applyFont="1" applyProtection="1"/>
    <xf numFmtId="168" fontId="0" fillId="0" borderId="0" xfId="1" applyNumberFormat="1" applyFont="1" applyFill="1" applyAlignment="1" applyProtection="1">
      <alignment horizontal="center"/>
    </xf>
    <xf numFmtId="2" fontId="12" fillId="0" borderId="0" xfId="1" applyNumberFormat="1" applyFont="1" applyFill="1" applyAlignment="1" applyProtection="1">
      <alignment horizontal="center"/>
    </xf>
    <xf numFmtId="0" fontId="0" fillId="8" borderId="4" xfId="0" applyFont="1" applyFill="1" applyBorder="1" applyAlignment="1" applyProtection="1">
      <alignment horizontal="center"/>
      <protection locked="0"/>
    </xf>
    <xf numFmtId="2" fontId="0" fillId="0" borderId="0" xfId="1" applyNumberFormat="1" applyFont="1" applyFill="1" applyAlignment="1" applyProtection="1">
      <alignment horizontal="right"/>
    </xf>
    <xf numFmtId="168" fontId="0" fillId="0" borderId="0" xfId="1" applyNumberFormat="1" applyFont="1" applyFill="1" applyAlignment="1" applyProtection="1">
      <alignment horizontal="left"/>
    </xf>
    <xf numFmtId="3" fontId="0" fillId="0" borderId="0" xfId="1" applyNumberFormat="1" applyFont="1" applyFill="1" applyAlignment="1" applyProtection="1">
      <alignment horizontal="right"/>
    </xf>
    <xf numFmtId="2" fontId="12" fillId="0" borderId="0" xfId="1" applyNumberFormat="1" applyFont="1" applyFill="1" applyAlignment="1" applyProtection="1">
      <alignment horizontal="left"/>
    </xf>
    <xf numFmtId="168" fontId="0" fillId="0" borderId="0" xfId="1" applyNumberFormat="1" applyFont="1" applyFill="1" applyAlignment="1" applyProtection="1">
      <alignment horizontal="right"/>
    </xf>
    <xf numFmtId="0" fontId="0" fillId="0" borderId="0" xfId="0" applyFont="1" applyFill="1" applyProtection="1"/>
    <xf numFmtId="0" fontId="0" fillId="0" borderId="0" xfId="0" applyFont="1" applyFill="1" applyBorder="1" applyAlignment="1" applyProtection="1">
      <alignment horizontal="center"/>
    </xf>
    <xf numFmtId="0" fontId="0" fillId="0" borderId="0" xfId="0" applyFont="1" applyFill="1" applyBorder="1" applyProtection="1"/>
    <xf numFmtId="0" fontId="0" fillId="0" borderId="0" xfId="0" applyFont="1" applyFill="1" applyAlignment="1" applyProtection="1">
      <alignment horizontal="right"/>
    </xf>
    <xf numFmtId="0" fontId="6" fillId="0" borderId="0" xfId="0" applyFont="1" applyAlignment="1" applyProtection="1">
      <alignment horizontal="left"/>
    </xf>
    <xf numFmtId="0" fontId="0" fillId="0" borderId="0" xfId="0" applyFont="1" applyAlignment="1" applyProtection="1">
      <alignment horizontal="right"/>
    </xf>
    <xf numFmtId="9" fontId="0" fillId="8" borderId="4" xfId="1" applyFont="1" applyFill="1" applyBorder="1" applyAlignment="1" applyProtection="1">
      <alignment horizontal="center"/>
      <protection locked="0"/>
    </xf>
    <xf numFmtId="0" fontId="0" fillId="0" borderId="0" xfId="0" applyFont="1" applyFill="1" applyAlignment="1" applyProtection="1">
      <alignment wrapText="1"/>
    </xf>
    <xf numFmtId="0" fontId="0" fillId="0" borderId="0" xfId="0" applyFont="1" applyFill="1" applyAlignment="1" applyProtection="1">
      <alignment horizontal="right" wrapText="1"/>
    </xf>
    <xf numFmtId="9" fontId="0" fillId="0" borderId="0" xfId="1" applyFont="1" applyFill="1" applyAlignment="1" applyProtection="1">
      <alignment horizontal="center" wrapText="1"/>
    </xf>
    <xf numFmtId="9" fontId="0" fillId="8" borderId="4" xfId="1" applyFont="1" applyFill="1" applyBorder="1" applyAlignment="1" applyProtection="1">
      <alignment horizontal="right"/>
      <protection locked="0"/>
    </xf>
    <xf numFmtId="9" fontId="0" fillId="8" borderId="4" xfId="1" applyFont="1" applyFill="1" applyBorder="1" applyAlignment="1" applyProtection="1">
      <alignment horizontal="left"/>
      <protection locked="0"/>
    </xf>
    <xf numFmtId="0" fontId="0" fillId="0" borderId="3" xfId="0" applyFont="1" applyBorder="1" applyProtection="1"/>
    <xf numFmtId="14" fontId="8" fillId="0" borderId="0" xfId="0" applyNumberFormat="1" applyFont="1" applyAlignment="1" applyProtection="1">
      <alignment horizontal="left"/>
    </xf>
    <xf numFmtId="0" fontId="9" fillId="0" borderId="0" xfId="0" applyFont="1" applyProtection="1"/>
    <xf numFmtId="0" fontId="8" fillId="0" borderId="0" xfId="0" applyFont="1" applyFill="1" applyProtection="1"/>
    <xf numFmtId="169" fontId="0" fillId="8" borderId="0" xfId="1" applyNumberFormat="1" applyFont="1" applyFill="1" applyAlignment="1" applyProtection="1">
      <alignment horizontal="right"/>
      <protection locked="0"/>
    </xf>
    <xf numFmtId="3" fontId="0" fillId="0" borderId="0" xfId="0" applyNumberFormat="1" applyFont="1" applyAlignment="1" applyProtection="1">
      <alignment horizontal="right"/>
    </xf>
    <xf numFmtId="169" fontId="0" fillId="8" borderId="22" xfId="1" applyNumberFormat="1" applyFont="1" applyFill="1" applyBorder="1" applyAlignment="1" applyProtection="1">
      <alignment horizontal="right"/>
      <protection locked="0"/>
    </xf>
    <xf numFmtId="0" fontId="0" fillId="0" borderId="0" xfId="0" applyFont="1" applyFill="1" applyAlignment="1" applyProtection="1">
      <alignment horizontal="left"/>
    </xf>
    <xf numFmtId="168" fontId="0" fillId="10" borderId="0" xfId="1" applyNumberFormat="1" applyFont="1" applyFill="1" applyAlignment="1" applyProtection="1">
      <alignment horizontal="center"/>
    </xf>
    <xf numFmtId="0" fontId="0" fillId="8" borderId="4" xfId="0" applyFont="1" applyFill="1" applyBorder="1" applyProtection="1">
      <protection locked="0"/>
    </xf>
    <xf numFmtId="0" fontId="13" fillId="0" borderId="0" xfId="0" applyFont="1" applyProtection="1"/>
    <xf numFmtId="0" fontId="0" fillId="0" borderId="0" xfId="0" applyFont="1" applyAlignment="1" applyProtection="1">
      <alignment horizontal="right" wrapText="1"/>
    </xf>
    <xf numFmtId="0" fontId="0" fillId="0" borderId="0" xfId="0" applyFont="1" applyAlignment="1" applyProtection="1">
      <alignment horizontal="left" wrapText="1"/>
    </xf>
    <xf numFmtId="0" fontId="5" fillId="0" borderId="0" xfId="0" applyFont="1" applyAlignment="1" applyProtection="1"/>
    <xf numFmtId="0" fontId="5" fillId="0" borderId="0" xfId="0" applyFont="1" applyProtection="1"/>
    <xf numFmtId="0" fontId="5" fillId="0" borderId="0" xfId="0" applyFont="1" applyAlignment="1" applyProtection="1">
      <alignment horizontal="center"/>
    </xf>
    <xf numFmtId="0" fontId="7" fillId="0" borderId="0" xfId="0" applyFont="1" applyAlignment="1" applyProtection="1"/>
    <xf numFmtId="0" fontId="7" fillId="0" borderId="0" xfId="0" applyFont="1" applyAlignment="1" applyProtection="1">
      <alignment horizontal="right"/>
    </xf>
    <xf numFmtId="0" fontId="14" fillId="0" borderId="0" xfId="0" applyFont="1" applyAlignment="1" applyProtection="1">
      <alignment horizontal="right"/>
    </xf>
    <xf numFmtId="0" fontId="14" fillId="0" borderId="0" xfId="0" applyFont="1" applyAlignment="1" applyProtection="1">
      <alignment horizontal="center"/>
    </xf>
    <xf numFmtId="0" fontId="14" fillId="0" borderId="0" xfId="0" applyFont="1" applyAlignment="1" applyProtection="1">
      <alignment horizontal="left"/>
    </xf>
    <xf numFmtId="0" fontId="14" fillId="0" borderId="0" xfId="0" applyFont="1" applyProtection="1"/>
    <xf numFmtId="0" fontId="15" fillId="2" borderId="0" xfId="0" applyFont="1" applyFill="1" applyAlignment="1" applyProtection="1"/>
    <xf numFmtId="0" fontId="16" fillId="5" borderId="0" xfId="0" applyFont="1" applyFill="1" applyBorder="1" applyAlignment="1" applyProtection="1">
      <alignment horizontal="left"/>
    </xf>
    <xf numFmtId="0" fontId="16" fillId="5" borderId="0" xfId="0" applyFont="1" applyFill="1" applyAlignment="1" applyProtection="1">
      <alignment horizontal="left"/>
    </xf>
    <xf numFmtId="2" fontId="16" fillId="5" borderId="0" xfId="0" applyNumberFormat="1" applyFont="1" applyFill="1" applyAlignment="1" applyProtection="1">
      <alignment horizontal="center"/>
    </xf>
    <xf numFmtId="0" fontId="14" fillId="0" borderId="0" xfId="0" applyFont="1" applyAlignment="1" applyProtection="1"/>
    <xf numFmtId="2" fontId="14" fillId="0" borderId="0" xfId="0" applyNumberFormat="1" applyFont="1" applyAlignment="1" applyProtection="1">
      <alignment horizontal="center"/>
    </xf>
    <xf numFmtId="0" fontId="7" fillId="0" borderId="0" xfId="0" applyFont="1" applyAlignment="1" applyProtection="1">
      <alignment horizontal="center"/>
    </xf>
    <xf numFmtId="0" fontId="17" fillId="0" borderId="1" xfId="0" applyFont="1" applyBorder="1" applyAlignment="1" applyProtection="1">
      <alignment horizontal="left"/>
    </xf>
    <xf numFmtId="0" fontId="7" fillId="0" borderId="1" xfId="0" applyFont="1" applyBorder="1" applyAlignment="1" applyProtection="1">
      <alignment horizontal="center"/>
    </xf>
    <xf numFmtId="0" fontId="14" fillId="0" borderId="0" xfId="0" applyFont="1" applyFill="1" applyProtection="1"/>
    <xf numFmtId="0" fontId="14" fillId="0" borderId="0" xfId="0" applyFont="1" applyFill="1" applyAlignment="1" applyProtection="1">
      <alignment horizontal="right"/>
    </xf>
    <xf numFmtId="2" fontId="14" fillId="3" borderId="2" xfId="0" applyNumberFormat="1" applyFont="1" applyFill="1" applyBorder="1" applyAlignment="1" applyProtection="1">
      <alignment horizontal="right"/>
      <protection locked="0"/>
    </xf>
    <xf numFmtId="0" fontId="14" fillId="0" borderId="0" xfId="0" applyFont="1" applyBorder="1" applyAlignment="1" applyProtection="1">
      <alignment horizontal="left"/>
    </xf>
    <xf numFmtId="0" fontId="7" fillId="0" borderId="0" xfId="0" applyFont="1" applyBorder="1" applyAlignment="1" applyProtection="1">
      <alignment horizontal="center"/>
    </xf>
    <xf numFmtId="0" fontId="14" fillId="0" borderId="0" xfId="0" applyFont="1" applyBorder="1" applyAlignment="1" applyProtection="1">
      <alignment horizontal="right"/>
    </xf>
    <xf numFmtId="0" fontId="14" fillId="3" borderId="4" xfId="0" applyFont="1" applyFill="1" applyBorder="1" applyAlignment="1" applyProtection="1">
      <alignment horizontal="right"/>
      <protection locked="0"/>
    </xf>
    <xf numFmtId="3" fontId="14" fillId="0" borderId="0" xfId="0" applyNumberFormat="1" applyFont="1" applyBorder="1" applyAlignment="1" applyProtection="1">
      <alignment horizontal="right"/>
    </xf>
    <xf numFmtId="165" fontId="14" fillId="0" borderId="0" xfId="0" applyNumberFormat="1" applyFont="1" applyAlignment="1" applyProtection="1">
      <alignment horizontal="center"/>
    </xf>
    <xf numFmtId="164" fontId="14" fillId="0" borderId="0" xfId="0" applyNumberFormat="1" applyFont="1" applyAlignment="1" applyProtection="1">
      <alignment horizontal="center"/>
    </xf>
    <xf numFmtId="1" fontId="14" fillId="0" borderId="0" xfId="0" applyNumberFormat="1" applyFont="1" applyAlignment="1" applyProtection="1">
      <alignment horizontal="center"/>
    </xf>
    <xf numFmtId="0" fontId="17" fillId="0" borderId="0" xfId="0" applyFont="1" applyBorder="1" applyAlignment="1" applyProtection="1">
      <alignment horizontal="left"/>
    </xf>
    <xf numFmtId="0" fontId="18" fillId="0" borderId="3" xfId="0" applyFont="1" applyBorder="1" applyAlignment="1" applyProtection="1">
      <alignment horizontal="left"/>
    </xf>
    <xf numFmtId="2" fontId="14" fillId="0" borderId="3" xfId="0" applyNumberFormat="1" applyFont="1" applyBorder="1" applyAlignment="1" applyProtection="1">
      <alignment horizontal="right"/>
    </xf>
    <xf numFmtId="0" fontId="14" fillId="0" borderId="3" xfId="0" applyFont="1" applyBorder="1" applyAlignment="1" applyProtection="1">
      <alignment horizontal="left"/>
    </xf>
    <xf numFmtId="0" fontId="7" fillId="0" borderId="3" xfId="0" applyFont="1" applyBorder="1" applyAlignment="1" applyProtection="1">
      <alignment horizontal="left"/>
    </xf>
    <xf numFmtId="0" fontId="7" fillId="0" borderId="3" xfId="0" applyFont="1" applyBorder="1" applyAlignment="1" applyProtection="1">
      <alignment horizontal="center"/>
    </xf>
    <xf numFmtId="0" fontId="14" fillId="0" borderId="3" xfId="0" applyFont="1" applyBorder="1" applyAlignment="1" applyProtection="1">
      <alignment horizontal="right"/>
    </xf>
    <xf numFmtId="2" fontId="14" fillId="3" borderId="2" xfId="0" applyNumberFormat="1" applyFont="1" applyFill="1" applyBorder="1" applyAlignment="1" applyProtection="1">
      <alignment horizontal="center"/>
      <protection locked="0"/>
    </xf>
    <xf numFmtId="164" fontId="14" fillId="0" borderId="0" xfId="0" applyNumberFormat="1" applyFont="1" applyAlignment="1" applyProtection="1">
      <alignment horizontal="left"/>
    </xf>
    <xf numFmtId="0" fontId="18" fillId="0" borderId="0" xfId="0" applyFont="1" applyBorder="1" applyAlignment="1" applyProtection="1">
      <alignment horizontal="right"/>
    </xf>
    <xf numFmtId="0" fontId="18" fillId="0" borderId="0" xfId="0" applyFont="1" applyBorder="1" applyAlignment="1" applyProtection="1">
      <alignment horizontal="left"/>
    </xf>
    <xf numFmtId="165" fontId="14" fillId="0" borderId="3" xfId="0" applyNumberFormat="1" applyFont="1" applyBorder="1" applyAlignment="1" applyProtection="1">
      <alignment horizontal="right"/>
    </xf>
    <xf numFmtId="0" fontId="14" fillId="10" borderId="1" xfId="0" applyFont="1" applyFill="1" applyBorder="1" applyAlignment="1" applyProtection="1">
      <alignment horizontal="center"/>
    </xf>
    <xf numFmtId="164" fontId="14" fillId="10" borderId="0" xfId="0" applyNumberFormat="1" applyFont="1" applyFill="1" applyAlignment="1" applyProtection="1">
      <alignment horizontal="center"/>
    </xf>
    <xf numFmtId="2" fontId="14" fillId="0" borderId="0" xfId="0" applyNumberFormat="1" applyFont="1" applyAlignment="1" applyProtection="1">
      <alignment horizontal="right"/>
    </xf>
    <xf numFmtId="0" fontId="7" fillId="0" borderId="1" xfId="0" applyFont="1" applyBorder="1" applyAlignment="1" applyProtection="1">
      <alignment horizontal="right"/>
    </xf>
    <xf numFmtId="1" fontId="14" fillId="3" borderId="2" xfId="0" applyNumberFormat="1" applyFont="1" applyFill="1" applyBorder="1" applyAlignment="1" applyProtection="1">
      <alignment horizontal="right"/>
      <protection locked="0"/>
    </xf>
    <xf numFmtId="1" fontId="14" fillId="3" borderId="4" xfId="0" applyNumberFormat="1" applyFont="1" applyFill="1" applyBorder="1" applyAlignment="1" applyProtection="1">
      <alignment horizontal="right"/>
      <protection locked="0"/>
    </xf>
    <xf numFmtId="0" fontId="14" fillId="0" borderId="0" xfId="0" applyFont="1" applyFill="1" applyBorder="1" applyAlignment="1" applyProtection="1">
      <alignment horizontal="right"/>
    </xf>
    <xf numFmtId="1" fontId="14" fillId="3" borderId="0" xfId="0" applyNumberFormat="1" applyFont="1" applyFill="1" applyBorder="1" applyAlignment="1" applyProtection="1">
      <alignment horizontal="right"/>
      <protection locked="0"/>
    </xf>
    <xf numFmtId="164" fontId="14" fillId="0" borderId="0" xfId="0" applyNumberFormat="1" applyFont="1" applyFill="1" applyAlignment="1" applyProtection="1">
      <alignment horizontal="center"/>
    </xf>
    <xf numFmtId="2" fontId="14" fillId="0" borderId="9" xfId="0" applyNumberFormat="1" applyFont="1" applyFill="1" applyBorder="1" applyAlignment="1" applyProtection="1">
      <alignment horizontal="right"/>
    </xf>
    <xf numFmtId="166" fontId="14" fillId="0" borderId="3" xfId="0" applyNumberFormat="1" applyFont="1" applyFill="1" applyBorder="1" applyAlignment="1" applyProtection="1">
      <alignment horizontal="right"/>
    </xf>
    <xf numFmtId="0" fontId="15" fillId="22" borderId="0" xfId="0" applyFont="1" applyFill="1" applyAlignment="1" applyProtection="1">
      <alignment horizontal="left"/>
    </xf>
    <xf numFmtId="166" fontId="14" fillId="0" borderId="0" xfId="0" applyNumberFormat="1" applyFont="1" applyFill="1" applyBorder="1" applyAlignment="1" applyProtection="1">
      <alignment horizontal="right"/>
    </xf>
    <xf numFmtId="1" fontId="14" fillId="3" borderId="2" xfId="0" applyNumberFormat="1" applyFont="1" applyFill="1" applyBorder="1" applyAlignment="1" applyProtection="1">
      <alignment horizontal="center"/>
      <protection locked="0"/>
    </xf>
    <xf numFmtId="1" fontId="14" fillId="0" borderId="0" xfId="0" applyNumberFormat="1" applyFont="1" applyAlignment="1" applyProtection="1">
      <alignment horizontal="left"/>
    </xf>
    <xf numFmtId="167" fontId="14" fillId="0" borderId="0" xfId="0" applyNumberFormat="1" applyFont="1" applyAlignment="1" applyProtection="1">
      <alignment horizontal="center"/>
    </xf>
    <xf numFmtId="1" fontId="14" fillId="0" borderId="0" xfId="0" applyNumberFormat="1" applyFont="1" applyFill="1" applyBorder="1" applyAlignment="1" applyProtection="1">
      <alignment horizontal="center"/>
    </xf>
    <xf numFmtId="0" fontId="14" fillId="0" borderId="0" xfId="0" applyFont="1" applyFill="1" applyBorder="1" applyAlignment="1" applyProtection="1">
      <alignment horizontal="left"/>
    </xf>
    <xf numFmtId="3" fontId="14" fillId="3" borderId="4" xfId="0" applyNumberFormat="1" applyFont="1" applyFill="1" applyBorder="1" applyAlignment="1" applyProtection="1">
      <alignment horizontal="right"/>
      <protection locked="0"/>
    </xf>
    <xf numFmtId="2" fontId="14" fillId="3" borderId="4" xfId="0" applyNumberFormat="1" applyFont="1" applyFill="1" applyBorder="1" applyAlignment="1" applyProtection="1">
      <alignment horizontal="right"/>
      <protection locked="0"/>
    </xf>
    <xf numFmtId="1" fontId="14" fillId="0" borderId="0" xfId="0" applyNumberFormat="1" applyFont="1" applyFill="1" applyBorder="1" applyAlignment="1" applyProtection="1">
      <alignment horizontal="right"/>
    </xf>
    <xf numFmtId="2" fontId="14" fillId="0" borderId="0" xfId="0" applyNumberFormat="1" applyFont="1" applyBorder="1" applyAlignment="1" applyProtection="1">
      <alignment horizontal="left"/>
    </xf>
    <xf numFmtId="2" fontId="14" fillId="0" borderId="0" xfId="0" applyNumberFormat="1" applyFont="1" applyBorder="1" applyAlignment="1" applyProtection="1">
      <alignment horizontal="right"/>
    </xf>
    <xf numFmtId="0" fontId="18" fillId="0" borderId="3" xfId="0" applyFont="1" applyFill="1" applyBorder="1" applyAlignment="1" applyProtection="1">
      <alignment horizontal="left"/>
    </xf>
    <xf numFmtId="165" fontId="14" fillId="0" borderId="3" xfId="0" applyNumberFormat="1" applyFont="1" applyFill="1" applyBorder="1" applyAlignment="1" applyProtection="1">
      <alignment horizontal="right"/>
    </xf>
    <xf numFmtId="164" fontId="14" fillId="0" borderId="0" xfId="0" applyNumberFormat="1" applyFont="1" applyFill="1" applyAlignment="1" applyProtection="1">
      <alignment horizontal="left"/>
    </xf>
    <xf numFmtId="1" fontId="14" fillId="0" borderId="0" xfId="0" applyNumberFormat="1" applyFont="1" applyFill="1" applyAlignment="1" applyProtection="1">
      <alignment horizontal="center"/>
    </xf>
    <xf numFmtId="165" fontId="14" fillId="0" borderId="0" xfId="0" applyNumberFormat="1" applyFont="1" applyBorder="1" applyAlignment="1" applyProtection="1">
      <alignment horizontal="right"/>
    </xf>
    <xf numFmtId="0" fontId="0" fillId="0" borderId="0" xfId="0" applyFont="1" applyBorder="1" applyProtection="1"/>
    <xf numFmtId="0" fontId="0" fillId="0" borderId="0" xfId="0" applyFont="1" applyBorder="1" applyAlignment="1" applyProtection="1">
      <alignment horizontal="center"/>
    </xf>
    <xf numFmtId="2" fontId="0" fillId="0" borderId="0" xfId="0" applyNumberFormat="1" applyFont="1" applyBorder="1" applyAlignment="1" applyProtection="1">
      <alignment horizontal="center"/>
    </xf>
    <xf numFmtId="0" fontId="4" fillId="0" borderId="0" xfId="0" applyFont="1" applyBorder="1" applyAlignment="1" applyProtection="1">
      <alignment horizontal="left"/>
    </xf>
    <xf numFmtId="0" fontId="4" fillId="0" borderId="0" xfId="0" applyFont="1" applyBorder="1" applyAlignment="1" applyProtection="1">
      <alignment horizontal="center"/>
    </xf>
    <xf numFmtId="2" fontId="0" fillId="0" borderId="0" xfId="0" applyNumberFormat="1" applyFont="1" applyAlignment="1" applyProtection="1">
      <alignment horizontal="center"/>
    </xf>
    <xf numFmtId="0" fontId="20" fillId="0" borderId="1" xfId="0" applyFont="1" applyBorder="1" applyAlignment="1" applyProtection="1">
      <alignment horizontal="left"/>
    </xf>
    <xf numFmtId="0" fontId="4" fillId="0" borderId="1" xfId="0" applyFont="1" applyBorder="1" applyAlignment="1" applyProtection="1">
      <alignment horizontal="center"/>
    </xf>
    <xf numFmtId="0" fontId="0" fillId="0" borderId="0" xfId="0" applyFont="1" applyAlignment="1" applyProtection="1">
      <alignment horizontal="center"/>
    </xf>
    <xf numFmtId="0" fontId="0" fillId="0" borderId="3" xfId="0" applyFont="1" applyBorder="1" applyAlignment="1" applyProtection="1">
      <alignment horizontal="right"/>
    </xf>
    <xf numFmtId="2" fontId="0" fillId="0" borderId="3" xfId="0" applyNumberFormat="1" applyFont="1" applyBorder="1" applyAlignment="1" applyProtection="1">
      <alignment horizontal="center"/>
    </xf>
    <xf numFmtId="0" fontId="0" fillId="0" borderId="0" xfId="0" applyFont="1" applyBorder="1" applyAlignment="1" applyProtection="1">
      <alignment horizontal="left"/>
    </xf>
    <xf numFmtId="164" fontId="0" fillId="0" borderId="0" xfId="0" applyNumberFormat="1" applyFont="1" applyAlignment="1" applyProtection="1">
      <alignment horizontal="left"/>
    </xf>
    <xf numFmtId="1" fontId="0" fillId="0" borderId="0" xfId="0" applyNumberFormat="1" applyFont="1" applyAlignment="1" applyProtection="1">
      <alignment horizontal="center"/>
    </xf>
    <xf numFmtId="0" fontId="0" fillId="0" borderId="1" xfId="0" applyFont="1" applyBorder="1" applyAlignment="1" applyProtection="1">
      <alignment horizontal="right"/>
    </xf>
    <xf numFmtId="2" fontId="0" fillId="0" borderId="1" xfId="0" applyNumberFormat="1" applyFont="1" applyBorder="1" applyAlignment="1" applyProtection="1">
      <alignment horizontal="center"/>
    </xf>
    <xf numFmtId="0" fontId="0" fillId="0" borderId="1" xfId="0" applyFont="1" applyBorder="1" applyAlignment="1" applyProtection="1">
      <alignment horizontal="left"/>
    </xf>
    <xf numFmtId="164" fontId="0" fillId="0" borderId="1" xfId="0" applyNumberFormat="1" applyFont="1" applyBorder="1" applyAlignment="1" applyProtection="1">
      <alignment horizontal="left"/>
    </xf>
    <xf numFmtId="0" fontId="0" fillId="0" borderId="3" xfId="0" applyFont="1" applyBorder="1" applyAlignment="1" applyProtection="1">
      <alignment horizontal="center"/>
    </xf>
    <xf numFmtId="0" fontId="0" fillId="0" borderId="1" xfId="0" applyFont="1" applyBorder="1" applyAlignment="1" applyProtection="1">
      <alignment horizontal="center"/>
    </xf>
    <xf numFmtId="0" fontId="0" fillId="0" borderId="3" xfId="0" applyFont="1" applyFill="1" applyBorder="1" applyAlignment="1" applyProtection="1">
      <alignment horizontal="center"/>
    </xf>
    <xf numFmtId="2" fontId="0" fillId="3" borderId="18" xfId="0" applyNumberFormat="1" applyFont="1" applyFill="1" applyBorder="1" applyAlignment="1" applyProtection="1">
      <alignment horizontal="center"/>
      <protection locked="0"/>
    </xf>
    <xf numFmtId="0" fontId="0" fillId="3" borderId="18" xfId="0" applyFont="1" applyFill="1" applyBorder="1" applyAlignment="1" applyProtection="1">
      <alignment horizontal="center"/>
      <protection locked="0"/>
    </xf>
    <xf numFmtId="3" fontId="0" fillId="3" borderId="18" xfId="0" applyNumberFormat="1" applyFont="1" applyFill="1" applyBorder="1" applyAlignment="1" applyProtection="1">
      <alignment horizontal="center"/>
      <protection locked="0"/>
    </xf>
    <xf numFmtId="0" fontId="0" fillId="0" borderId="0" xfId="0" applyFont="1" applyBorder="1" applyAlignment="1" applyProtection="1">
      <alignment horizontal="right"/>
    </xf>
    <xf numFmtId="1" fontId="0" fillId="3" borderId="4" xfId="0" applyNumberFormat="1" applyFont="1" applyFill="1" applyBorder="1" applyAlignment="1" applyProtection="1">
      <alignment horizontal="right"/>
      <protection locked="0"/>
    </xf>
    <xf numFmtId="164" fontId="0" fillId="10" borderId="0" xfId="0" applyNumberFormat="1" applyFont="1" applyFill="1" applyAlignment="1" applyProtection="1"/>
    <xf numFmtId="1" fontId="0" fillId="10" borderId="0" xfId="0" applyNumberFormat="1" applyFont="1" applyFill="1" applyAlignment="1" applyProtection="1"/>
    <xf numFmtId="0" fontId="0" fillId="10" borderId="0" xfId="0" applyFont="1" applyFill="1" applyAlignment="1" applyProtection="1"/>
    <xf numFmtId="2" fontId="0" fillId="0" borderId="0" xfId="0" applyNumberFormat="1" applyFont="1" applyBorder="1" applyAlignment="1" applyProtection="1">
      <alignment horizontal="right"/>
    </xf>
    <xf numFmtId="164" fontId="21" fillId="0" borderId="0" xfId="0" applyNumberFormat="1" applyFont="1" applyFill="1" applyAlignment="1" applyProtection="1">
      <alignment horizontal="center"/>
    </xf>
    <xf numFmtId="43" fontId="0" fillId="0" borderId="4" xfId="0" applyNumberFormat="1" applyFont="1" applyBorder="1" applyAlignment="1" applyProtection="1">
      <alignment horizontal="center"/>
      <protection locked="0"/>
    </xf>
    <xf numFmtId="1" fontId="3" fillId="0" borderId="0" xfId="0" applyNumberFormat="1" applyFont="1" applyAlignment="1" applyProtection="1">
      <alignment horizontal="center"/>
    </xf>
    <xf numFmtId="2" fontId="0" fillId="0" borderId="3" xfId="0" applyNumberFormat="1" applyFont="1" applyBorder="1" applyAlignment="1" applyProtection="1">
      <alignment horizontal="right"/>
    </xf>
    <xf numFmtId="2" fontId="0" fillId="3" borderId="4" xfId="0" applyNumberFormat="1" applyFont="1" applyFill="1" applyBorder="1" applyAlignment="1" applyProtection="1">
      <alignment horizontal="right"/>
      <protection locked="0"/>
    </xf>
    <xf numFmtId="0" fontId="0" fillId="0" borderId="0" xfId="0" applyFont="1" applyFill="1" applyAlignment="1" applyProtection="1">
      <alignment horizontal="center"/>
    </xf>
    <xf numFmtId="0" fontId="0" fillId="0" borderId="0" xfId="0" applyFont="1" applyFill="1" applyBorder="1" applyAlignment="1" applyProtection="1">
      <alignment horizontal="right"/>
    </xf>
    <xf numFmtId="2" fontId="0" fillId="3" borderId="8" xfId="0" applyNumberFormat="1" applyFont="1" applyFill="1" applyBorder="1" applyAlignment="1" applyProtection="1">
      <alignment horizontal="right"/>
      <protection locked="0"/>
    </xf>
    <xf numFmtId="2" fontId="0" fillId="0" borderId="0" xfId="0" applyNumberFormat="1" applyFont="1" applyFill="1" applyBorder="1" applyAlignment="1" applyProtection="1">
      <alignment horizontal="right"/>
    </xf>
    <xf numFmtId="0" fontId="22" fillId="0" borderId="0" xfId="0" applyFont="1" applyFill="1" applyAlignment="1" applyProtection="1">
      <alignment horizontal="left"/>
    </xf>
    <xf numFmtId="164" fontId="0" fillId="0" borderId="0" xfId="0" applyNumberFormat="1" applyFont="1" applyBorder="1" applyAlignment="1" applyProtection="1">
      <alignment horizontal="left"/>
    </xf>
    <xf numFmtId="1" fontId="0" fillId="0" borderId="0" xfId="0" applyNumberFormat="1" applyFont="1" applyBorder="1" applyAlignment="1" applyProtection="1">
      <alignment horizontal="center"/>
    </xf>
    <xf numFmtId="0" fontId="20" fillId="0" borderId="0" xfId="0" applyFont="1" applyBorder="1" applyAlignment="1" applyProtection="1">
      <alignment horizontal="left"/>
    </xf>
    <xf numFmtId="165" fontId="0" fillId="0" borderId="0" xfId="0" applyNumberFormat="1" applyFont="1" applyBorder="1" applyAlignment="1" applyProtection="1">
      <alignment horizontal="right"/>
    </xf>
    <xf numFmtId="0" fontId="4" fillId="0" borderId="0" xfId="0" applyFont="1" applyBorder="1" applyAlignment="1" applyProtection="1">
      <alignment horizontal="right"/>
    </xf>
    <xf numFmtId="1" fontId="0" fillId="0" borderId="0" xfId="0" applyNumberFormat="1" applyFont="1" applyBorder="1" applyAlignment="1" applyProtection="1">
      <alignment horizontal="right"/>
    </xf>
    <xf numFmtId="166" fontId="0" fillId="0" borderId="0" xfId="0" applyNumberFormat="1" applyFont="1" applyBorder="1" applyAlignment="1" applyProtection="1">
      <alignment horizontal="right"/>
    </xf>
    <xf numFmtId="3" fontId="0" fillId="0" borderId="0" xfId="0" applyNumberFormat="1" applyFont="1" applyBorder="1" applyAlignment="1" applyProtection="1">
      <alignment horizontal="right"/>
    </xf>
    <xf numFmtId="167" fontId="0" fillId="0" borderId="0" xfId="0" applyNumberFormat="1" applyFont="1" applyBorder="1" applyAlignment="1" applyProtection="1">
      <alignment horizontal="center"/>
    </xf>
    <xf numFmtId="2" fontId="0" fillId="0" borderId="0" xfId="0" applyNumberFormat="1" applyFont="1" applyBorder="1" applyAlignment="1" applyProtection="1">
      <alignment horizontal="left"/>
    </xf>
    <xf numFmtId="164" fontId="0" fillId="0" borderId="0" xfId="0" applyNumberFormat="1" applyFont="1" applyAlignment="1" applyProtection="1">
      <alignment horizontal="center"/>
    </xf>
    <xf numFmtId="3" fontId="0" fillId="0" borderId="3" xfId="0" applyNumberFormat="1" applyFont="1" applyFill="1" applyBorder="1" applyAlignment="1" applyProtection="1">
      <alignment horizontal="center"/>
    </xf>
    <xf numFmtId="2" fontId="0" fillId="0" borderId="3" xfId="0" applyNumberFormat="1" applyFont="1" applyFill="1" applyBorder="1" applyAlignment="1" applyProtection="1">
      <alignment horizontal="center"/>
    </xf>
    <xf numFmtId="2" fontId="0" fillId="0" borderId="0" xfId="0" applyNumberFormat="1" applyFont="1" applyFill="1" applyBorder="1" applyAlignment="1" applyProtection="1">
      <alignment horizontal="center"/>
    </xf>
    <xf numFmtId="164" fontId="0" fillId="0" borderId="0" xfId="0" applyNumberFormat="1" applyFont="1" applyFill="1" applyAlignment="1" applyProtection="1">
      <alignment horizontal="left"/>
    </xf>
    <xf numFmtId="3" fontId="0" fillId="0" borderId="0" xfId="0" applyNumberFormat="1" applyFont="1" applyFill="1" applyBorder="1" applyAlignment="1" applyProtection="1">
      <alignment horizontal="center"/>
    </xf>
    <xf numFmtId="1" fontId="0" fillId="0" borderId="0" xfId="0" applyNumberFormat="1" applyFont="1" applyFill="1" applyAlignment="1" applyProtection="1">
      <alignment horizontal="center"/>
    </xf>
    <xf numFmtId="2" fontId="14" fillId="0" borderId="0" xfId="0" applyNumberFormat="1" applyFont="1" applyFill="1" applyBorder="1" applyAlignment="1" applyProtection="1">
      <alignment horizontal="left"/>
    </xf>
    <xf numFmtId="2" fontId="0" fillId="3" borderId="21" xfId="0" applyNumberFormat="1" applyFont="1" applyFill="1" applyBorder="1" applyAlignment="1" applyProtection="1">
      <alignment horizontal="center"/>
    </xf>
    <xf numFmtId="4" fontId="0" fillId="0" borderId="3" xfId="0" applyNumberFormat="1" applyFont="1" applyFill="1" applyBorder="1" applyAlignment="1" applyProtection="1">
      <alignment horizontal="center"/>
    </xf>
    <xf numFmtId="165" fontId="0" fillId="3" borderId="18" xfId="0" applyNumberFormat="1" applyFont="1" applyFill="1" applyBorder="1" applyAlignment="1" applyProtection="1">
      <alignment horizontal="center"/>
      <protection locked="0"/>
    </xf>
    <xf numFmtId="0" fontId="15" fillId="0" borderId="0" xfId="0" applyFont="1" applyFill="1" applyAlignment="1" applyProtection="1">
      <alignment horizontal="left"/>
    </xf>
    <xf numFmtId="43" fontId="0" fillId="0" borderId="0" xfId="0" applyNumberFormat="1" applyFont="1" applyBorder="1" applyAlignment="1" applyProtection="1">
      <alignment horizontal="center"/>
    </xf>
    <xf numFmtId="0" fontId="0" fillId="3" borderId="21" xfId="0" applyNumberFormat="1" applyFont="1" applyFill="1" applyBorder="1" applyAlignment="1" applyProtection="1">
      <alignment horizontal="center"/>
      <protection locked="0"/>
    </xf>
    <xf numFmtId="0" fontId="9" fillId="2" borderId="0" xfId="0" applyFont="1" applyFill="1" applyProtection="1"/>
    <xf numFmtId="0" fontId="9" fillId="7" borderId="0" xfId="0" applyFont="1" applyFill="1" applyProtection="1"/>
    <xf numFmtId="0" fontId="8" fillId="7" borderId="0" xfId="0" applyFont="1" applyFill="1" applyProtection="1"/>
    <xf numFmtId="0" fontId="8" fillId="0" borderId="5" xfId="0" applyFont="1" applyBorder="1" applyProtection="1"/>
    <xf numFmtId="0" fontId="8" fillId="0" borderId="6" xfId="0" applyFont="1" applyBorder="1" applyProtection="1"/>
    <xf numFmtId="3" fontId="8" fillId="0" borderId="0" xfId="0" applyNumberFormat="1" applyFont="1" applyProtection="1"/>
    <xf numFmtId="0" fontId="21" fillId="0" borderId="0" xfId="0" applyFont="1" applyAlignment="1" applyProtection="1">
      <alignment horizontal="center"/>
    </xf>
    <xf numFmtId="170" fontId="8" fillId="0" borderId="19" xfId="2" applyNumberFormat="1" applyFont="1" applyBorder="1" applyProtection="1">
      <protection locked="0"/>
    </xf>
    <xf numFmtId="0" fontId="8" fillId="0" borderId="16" xfId="0" applyFont="1" applyBorder="1" applyProtection="1"/>
    <xf numFmtId="170" fontId="8" fillId="0" borderId="20" xfId="2" applyNumberFormat="1" applyFont="1" applyBorder="1" applyProtection="1">
      <protection locked="0"/>
    </xf>
    <xf numFmtId="0" fontId="8" fillId="0" borderId="7" xfId="0" applyFont="1" applyBorder="1" applyProtection="1"/>
    <xf numFmtId="0" fontId="24" fillId="0" borderId="0" xfId="0" applyFont="1" applyProtection="1"/>
    <xf numFmtId="0" fontId="25" fillId="0" borderId="0" xfId="0" applyFont="1" applyProtection="1"/>
    <xf numFmtId="3" fontId="25" fillId="0" borderId="0" xfId="0" applyNumberFormat="1" applyFont="1" applyProtection="1"/>
    <xf numFmtId="0" fontId="25" fillId="0" borderId="0" xfId="0" applyFont="1" applyAlignment="1" applyProtection="1">
      <alignment horizontal="center"/>
    </xf>
    <xf numFmtId="3" fontId="8" fillId="11" borderId="4" xfId="0" applyNumberFormat="1" applyFont="1" applyFill="1" applyBorder="1" applyAlignment="1" applyProtection="1">
      <alignment horizontal="center"/>
      <protection locked="0"/>
    </xf>
    <xf numFmtId="0" fontId="9" fillId="0" borderId="10" xfId="0" applyFont="1" applyBorder="1" applyProtection="1"/>
    <xf numFmtId="0" fontId="9" fillId="0" borderId="10" xfId="0" applyFont="1" applyBorder="1" applyAlignment="1" applyProtection="1">
      <alignment horizontal="center"/>
    </xf>
    <xf numFmtId="166" fontId="8" fillId="0" borderId="0" xfId="0" applyNumberFormat="1" applyFont="1" applyAlignment="1" applyProtection="1">
      <alignment horizontal="center"/>
    </xf>
    <xf numFmtId="0" fontId="8" fillId="0" borderId="10" xfId="0" applyFont="1" applyBorder="1" applyProtection="1"/>
    <xf numFmtId="0" fontId="13" fillId="0" borderId="10" xfId="0" quotePrefix="1" applyFont="1" applyBorder="1" applyAlignment="1" applyProtection="1">
      <alignment horizontal="right"/>
    </xf>
    <xf numFmtId="2" fontId="9" fillId="0" borderId="10" xfId="0" applyNumberFormat="1" applyFont="1" applyBorder="1" applyAlignment="1" applyProtection="1">
      <alignment horizontal="center"/>
    </xf>
    <xf numFmtId="39" fontId="8" fillId="0" borderId="0" xfId="0" applyNumberFormat="1" applyFont="1" applyAlignment="1" applyProtection="1">
      <alignment horizontal="center"/>
    </xf>
    <xf numFmtId="2" fontId="8" fillId="0" borderId="0" xfId="0" applyNumberFormat="1" applyFont="1" applyAlignment="1" applyProtection="1">
      <alignment horizontal="center"/>
    </xf>
    <xf numFmtId="43" fontId="8" fillId="0" borderId="19" xfId="2" applyFont="1" applyBorder="1" applyProtection="1">
      <protection locked="0"/>
    </xf>
    <xf numFmtId="43" fontId="8" fillId="0" borderId="20" xfId="2" applyFont="1" applyBorder="1" applyProtection="1">
      <protection locked="0"/>
    </xf>
    <xf numFmtId="0" fontId="27" fillId="0" borderId="0" xfId="0" applyFont="1" applyAlignment="1" applyProtection="1">
      <alignment vertical="top" wrapText="1"/>
    </xf>
    <xf numFmtId="0" fontId="9" fillId="9" borderId="0" xfId="0" applyFont="1" applyFill="1" applyProtection="1"/>
    <xf numFmtId="0" fontId="8" fillId="9" borderId="0" xfId="0" applyFont="1" applyFill="1" applyProtection="1"/>
    <xf numFmtId="0" fontId="8" fillId="0" borderId="0" xfId="0" applyFont="1" applyFill="1" applyAlignment="1" applyProtection="1">
      <alignment horizontal="right"/>
    </xf>
    <xf numFmtId="168" fontId="8" fillId="0" borderId="0" xfId="1" applyNumberFormat="1" applyFont="1" applyAlignment="1" applyProtection="1">
      <alignment horizontal="center"/>
    </xf>
    <xf numFmtId="0" fontId="9" fillId="20" borderId="0" xfId="0" applyFont="1" applyFill="1" applyProtection="1"/>
    <xf numFmtId="0" fontId="8" fillId="17" borderId="4" xfId="0" applyFont="1" applyFill="1" applyBorder="1" applyAlignment="1" applyProtection="1">
      <alignment horizontal="center"/>
      <protection locked="0"/>
    </xf>
    <xf numFmtId="0" fontId="8" fillId="17" borderId="8" xfId="0" applyFont="1" applyFill="1" applyBorder="1" applyAlignment="1" applyProtection="1">
      <alignment horizontal="center"/>
      <protection locked="0"/>
    </xf>
    <xf numFmtId="0" fontId="28" fillId="0" borderId="0" xfId="0" applyFont="1" applyAlignment="1" applyProtection="1">
      <alignment horizontal="center"/>
    </xf>
    <xf numFmtId="0" fontId="9" fillId="12" borderId="0" xfId="0" applyFont="1" applyFill="1" applyProtection="1"/>
    <xf numFmtId="0" fontId="9" fillId="0" borderId="0" xfId="0" applyFont="1" applyAlignment="1" applyProtection="1">
      <alignment horizontal="center" wrapText="1"/>
    </xf>
    <xf numFmtId="0" fontId="8" fillId="12" borderId="4" xfId="0" applyFont="1" applyFill="1" applyBorder="1" applyAlignment="1" applyProtection="1">
      <alignment horizontal="center"/>
      <protection locked="0"/>
    </xf>
    <xf numFmtId="0" fontId="8" fillId="12" borderId="8" xfId="0" applyFont="1" applyFill="1" applyBorder="1" applyAlignment="1" applyProtection="1">
      <alignment horizontal="center"/>
      <protection locked="0"/>
    </xf>
    <xf numFmtId="0" fontId="17" fillId="21" borderId="0" xfId="0" applyFont="1" applyFill="1" applyAlignment="1" applyProtection="1">
      <alignment wrapText="1"/>
    </xf>
    <xf numFmtId="0" fontId="17" fillId="7" borderId="0" xfId="0" applyFont="1" applyFill="1" applyAlignment="1" applyProtection="1">
      <alignment wrapText="1"/>
    </xf>
    <xf numFmtId="0" fontId="9" fillId="13" borderId="0" xfId="0" applyFont="1" applyFill="1" applyProtection="1"/>
    <xf numFmtId="0" fontId="8" fillId="13" borderId="0" xfId="0" applyFont="1" applyFill="1" applyProtection="1"/>
    <xf numFmtId="0" fontId="31" fillId="12" borderId="17" xfId="0" applyFont="1" applyFill="1" applyBorder="1" applyAlignment="1" applyProtection="1">
      <alignment horizontal="center"/>
      <protection locked="0"/>
    </xf>
    <xf numFmtId="0" fontId="8" fillId="2" borderId="0" xfId="0" applyFont="1" applyFill="1" applyAlignment="1" applyProtection="1">
      <alignment horizontal="center"/>
    </xf>
    <xf numFmtId="165" fontId="8" fillId="0" borderId="0" xfId="0" applyNumberFormat="1" applyFont="1" applyAlignment="1" applyProtection="1">
      <alignment horizontal="right"/>
    </xf>
    <xf numFmtId="3" fontId="8" fillId="0" borderId="0" xfId="0" applyNumberFormat="1" applyFont="1" applyAlignment="1" applyProtection="1">
      <alignment horizontal="right"/>
    </xf>
    <xf numFmtId="0" fontId="8" fillId="0" borderId="11" xfId="0" applyFont="1" applyBorder="1" applyProtection="1"/>
    <xf numFmtId="0" fontId="8" fillId="0" borderId="12" xfId="0" applyFont="1" applyBorder="1" applyProtection="1"/>
    <xf numFmtId="170" fontId="8" fillId="0" borderId="11" xfId="2" applyNumberFormat="1" applyFont="1" applyBorder="1" applyProtection="1">
      <protection locked="0"/>
    </xf>
    <xf numFmtId="0" fontId="9" fillId="15" borderId="0" xfId="0" applyFont="1" applyFill="1" applyProtection="1"/>
    <xf numFmtId="0" fontId="8" fillId="15" borderId="0" xfId="0" applyFont="1" applyFill="1" applyProtection="1"/>
    <xf numFmtId="0" fontId="31" fillId="12" borderId="8" xfId="0" applyFont="1" applyFill="1" applyBorder="1" applyAlignment="1" applyProtection="1">
      <alignment horizontal="center"/>
      <protection locked="0"/>
    </xf>
    <xf numFmtId="0" fontId="32" fillId="12" borderId="8" xfId="0" applyFont="1" applyFill="1" applyBorder="1" applyAlignment="1" applyProtection="1">
      <alignment horizontal="center"/>
      <protection locked="0"/>
    </xf>
    <xf numFmtId="0" fontId="33" fillId="12" borderId="8" xfId="0" applyFont="1" applyFill="1" applyBorder="1" applyAlignment="1" applyProtection="1">
      <alignment horizontal="center"/>
      <protection locked="0"/>
    </xf>
    <xf numFmtId="0" fontId="8" fillId="6" borderId="0" xfId="0" applyFont="1" applyFill="1" applyAlignment="1" applyProtection="1">
      <alignment horizontal="center"/>
    </xf>
    <xf numFmtId="165" fontId="8" fillId="6" borderId="0" xfId="0" applyNumberFormat="1" applyFont="1" applyFill="1" applyAlignment="1" applyProtection="1">
      <alignment horizontal="center"/>
    </xf>
    <xf numFmtId="168" fontId="8" fillId="6" borderId="0" xfId="1" applyNumberFormat="1" applyFont="1" applyFill="1" applyAlignment="1" applyProtection="1">
      <alignment horizontal="center"/>
    </xf>
    <xf numFmtId="3" fontId="8" fillId="6" borderId="0" xfId="0" applyNumberFormat="1" applyFont="1" applyFill="1" applyAlignment="1" applyProtection="1">
      <alignment horizontal="center"/>
    </xf>
    <xf numFmtId="0" fontId="9" fillId="16" borderId="0" xfId="0" applyFont="1" applyFill="1" applyProtection="1"/>
    <xf numFmtId="0" fontId="8" fillId="16" borderId="0" xfId="0" applyFont="1" applyFill="1" applyProtection="1"/>
    <xf numFmtId="0" fontId="8" fillId="17" borderId="0" xfId="0" applyFont="1" applyFill="1" applyAlignment="1" applyProtection="1">
      <alignment horizontal="center"/>
    </xf>
    <xf numFmtId="165" fontId="8" fillId="17" borderId="0" xfId="0" applyNumberFormat="1" applyFont="1" applyFill="1" applyAlignment="1" applyProtection="1">
      <alignment horizontal="center"/>
    </xf>
    <xf numFmtId="168" fontId="8" fillId="17" borderId="0" xfId="1" applyNumberFormat="1" applyFont="1" applyFill="1" applyAlignment="1" applyProtection="1">
      <alignment horizontal="center"/>
    </xf>
    <xf numFmtId="3" fontId="8" fillId="17" borderId="0" xfId="0" applyNumberFormat="1" applyFont="1" applyFill="1" applyAlignment="1" applyProtection="1">
      <alignment horizontal="center"/>
    </xf>
    <xf numFmtId="0" fontId="17" fillId="6" borderId="0" xfId="0" applyFont="1" applyFill="1" applyProtection="1"/>
    <xf numFmtId="0" fontId="34" fillId="0" borderId="10" xfId="0" applyFont="1" applyBorder="1" applyProtection="1"/>
    <xf numFmtId="0" fontId="34" fillId="0" borderId="0" xfId="0" applyFont="1" applyProtection="1"/>
    <xf numFmtId="0" fontId="7" fillId="12" borderId="0" xfId="0" applyFont="1" applyFill="1" applyProtection="1"/>
    <xf numFmtId="165" fontId="14" fillId="0" borderId="0" xfId="0" applyNumberFormat="1" applyFont="1" applyAlignment="1" applyProtection="1">
      <alignment horizontal="right"/>
    </xf>
    <xf numFmtId="168" fontId="14" fillId="0" borderId="0" xfId="1" applyNumberFormat="1" applyFont="1" applyAlignment="1" applyProtection="1">
      <alignment horizontal="center"/>
    </xf>
    <xf numFmtId="3" fontId="14" fillId="0" borderId="0" xfId="0" applyNumberFormat="1" applyFont="1" applyAlignment="1" applyProtection="1">
      <alignment horizontal="right"/>
    </xf>
    <xf numFmtId="165" fontId="14" fillId="0" borderId="0" xfId="0" applyNumberFormat="1" applyFont="1" applyProtection="1"/>
    <xf numFmtId="0" fontId="7" fillId="0" borderId="0" xfId="0" applyFont="1" applyProtection="1"/>
    <xf numFmtId="0" fontId="7" fillId="0" borderId="10" xfId="0" applyFont="1" applyBorder="1" applyProtection="1"/>
    <xf numFmtId="0" fontId="14" fillId="0" borderId="10" xfId="0" applyFont="1" applyBorder="1" applyAlignment="1" applyProtection="1">
      <alignment horizontal="center"/>
    </xf>
    <xf numFmtId="2" fontId="14" fillId="3" borderId="17" xfId="0" applyNumberFormat="1" applyFont="1" applyFill="1" applyBorder="1" applyAlignment="1" applyProtection="1">
      <alignment horizontal="center"/>
      <protection locked="0"/>
    </xf>
    <xf numFmtId="0" fontId="14" fillId="14" borderId="17" xfId="0" applyFont="1" applyFill="1" applyBorder="1" applyAlignment="1" applyProtection="1">
      <alignment horizontal="center"/>
      <protection locked="0"/>
    </xf>
    <xf numFmtId="37" fontId="14" fillId="14" borderId="17" xfId="0" applyNumberFormat="1" applyFont="1" applyFill="1" applyBorder="1" applyAlignment="1" applyProtection="1">
      <alignment horizontal="center"/>
      <protection locked="0"/>
    </xf>
    <xf numFmtId="0" fontId="14" fillId="6" borderId="17" xfId="0" applyFont="1" applyFill="1" applyBorder="1" applyAlignment="1" applyProtection="1">
      <alignment horizontal="center"/>
      <protection locked="0"/>
    </xf>
    <xf numFmtId="37" fontId="14" fillId="6" borderId="17" xfId="0" applyNumberFormat="1" applyFont="1" applyFill="1" applyBorder="1" applyAlignment="1" applyProtection="1">
      <alignment horizontal="center"/>
      <protection locked="0"/>
    </xf>
    <xf numFmtId="0" fontId="14" fillId="17" borderId="17" xfId="0" applyFont="1" applyFill="1" applyBorder="1" applyAlignment="1" applyProtection="1">
      <alignment horizontal="center"/>
      <protection locked="0"/>
    </xf>
    <xf numFmtId="37" fontId="14" fillId="17" borderId="17" xfId="2" applyNumberFormat="1" applyFont="1" applyFill="1" applyBorder="1" applyAlignment="1" applyProtection="1">
      <alignment horizontal="center"/>
      <protection locked="0"/>
    </xf>
    <xf numFmtId="2" fontId="14" fillId="3" borderId="8" xfId="0" applyNumberFormat="1" applyFont="1" applyFill="1" applyBorder="1" applyAlignment="1" applyProtection="1">
      <alignment horizontal="center"/>
      <protection locked="0"/>
    </xf>
    <xf numFmtId="0" fontId="14" fillId="14" borderId="8" xfId="0" applyFont="1" applyFill="1" applyBorder="1" applyAlignment="1" applyProtection="1">
      <alignment horizontal="center"/>
      <protection locked="0"/>
    </xf>
    <xf numFmtId="37" fontId="14" fillId="14" borderId="8" xfId="0" applyNumberFormat="1" applyFont="1" applyFill="1" applyBorder="1" applyAlignment="1" applyProtection="1">
      <alignment horizontal="center"/>
      <protection locked="0"/>
    </xf>
    <xf numFmtId="0" fontId="14" fillId="6" borderId="8" xfId="0" applyFont="1" applyFill="1" applyBorder="1" applyAlignment="1" applyProtection="1">
      <alignment horizontal="center"/>
      <protection locked="0"/>
    </xf>
    <xf numFmtId="37" fontId="14" fillId="6" borderId="8" xfId="0" applyNumberFormat="1" applyFont="1" applyFill="1" applyBorder="1" applyAlignment="1" applyProtection="1">
      <alignment horizontal="center"/>
      <protection locked="0"/>
    </xf>
    <xf numFmtId="0" fontId="14" fillId="17" borderId="8" xfId="0" applyFont="1" applyFill="1" applyBorder="1" applyAlignment="1" applyProtection="1">
      <alignment horizontal="center"/>
      <protection locked="0"/>
    </xf>
    <xf numFmtId="37" fontId="14" fillId="17" borderId="8" xfId="2" applyNumberFormat="1" applyFont="1" applyFill="1" applyBorder="1" applyAlignment="1" applyProtection="1">
      <alignment horizontal="center"/>
      <protection locked="0"/>
    </xf>
    <xf numFmtId="166" fontId="14" fillId="0" borderId="0" xfId="0" applyNumberFormat="1" applyFont="1" applyAlignment="1" applyProtection="1">
      <alignment horizontal="center"/>
    </xf>
    <xf numFmtId="37" fontId="14" fillId="0" borderId="0" xfId="0" applyNumberFormat="1" applyFont="1" applyAlignment="1" applyProtection="1">
      <alignment horizontal="center"/>
    </xf>
    <xf numFmtId="37" fontId="14" fillId="0" borderId="0" xfId="2" applyNumberFormat="1" applyFont="1" applyFill="1" applyAlignment="1" applyProtection="1">
      <alignment horizontal="center"/>
    </xf>
    <xf numFmtId="0" fontId="14" fillId="18" borderId="4" xfId="0" applyFont="1" applyFill="1" applyBorder="1" applyAlignment="1" applyProtection="1">
      <alignment horizontal="center"/>
      <protection locked="0"/>
    </xf>
    <xf numFmtId="0" fontId="14" fillId="0" borderId="13" xfId="0" applyFont="1" applyBorder="1" applyAlignment="1" applyProtection="1">
      <alignment horizontal="center"/>
    </xf>
    <xf numFmtId="0" fontId="8" fillId="0" borderId="14" xfId="0" applyFont="1" applyBorder="1" applyAlignment="1" applyProtection="1">
      <alignment horizontal="center"/>
    </xf>
    <xf numFmtId="0" fontId="35" fillId="0" borderId="0" xfId="0" applyFont="1" applyAlignment="1" applyProtection="1">
      <alignment horizontal="center"/>
    </xf>
    <xf numFmtId="170" fontId="8" fillId="0" borderId="15" xfId="2" applyNumberFormat="1" applyFont="1" applyBorder="1" applyAlignment="1" applyProtection="1">
      <alignment horizontal="center"/>
    </xf>
    <xf numFmtId="0" fontId="19" fillId="0" borderId="10" xfId="0" applyFont="1" applyBorder="1" applyAlignment="1" applyProtection="1">
      <alignment horizontal="center"/>
    </xf>
    <xf numFmtId="3" fontId="14" fillId="0" borderId="0" xfId="0" applyNumberFormat="1" applyFont="1" applyAlignment="1" applyProtection="1">
      <alignment horizontal="center"/>
    </xf>
    <xf numFmtId="43" fontId="14" fillId="0" borderId="19" xfId="2" applyFont="1" applyBorder="1" applyAlignment="1" applyProtection="1">
      <alignment horizontal="center"/>
      <protection locked="0"/>
    </xf>
    <xf numFmtId="2" fontId="19" fillId="0" borderId="0" xfId="0" applyNumberFormat="1" applyFont="1" applyAlignment="1" applyProtection="1">
      <alignment horizontal="center"/>
    </xf>
    <xf numFmtId="43" fontId="14" fillId="0" borderId="20" xfId="2" applyFont="1" applyBorder="1" applyAlignment="1" applyProtection="1">
      <alignment horizontal="center"/>
      <protection locked="0"/>
    </xf>
    <xf numFmtId="4" fontId="7" fillId="12" borderId="4" xfId="0" applyNumberFormat="1" applyFont="1" applyFill="1" applyBorder="1" applyAlignment="1" applyProtection="1">
      <alignment horizontal="center"/>
      <protection locked="0"/>
    </xf>
    <xf numFmtId="170" fontId="14" fillId="0" borderId="0" xfId="2" applyNumberFormat="1" applyFont="1" applyBorder="1" applyAlignment="1" applyProtection="1">
      <alignment horizontal="center"/>
    </xf>
    <xf numFmtId="3" fontId="0" fillId="0" borderId="0" xfId="0" applyNumberFormat="1" applyFont="1" applyBorder="1" applyAlignment="1" applyProtection="1">
      <alignment horizontal="center"/>
    </xf>
    <xf numFmtId="166" fontId="14" fillId="0" borderId="0" xfId="0" applyNumberFormat="1" applyFont="1" applyProtection="1"/>
    <xf numFmtId="0" fontId="6" fillId="0" borderId="0" xfId="0" applyFont="1" applyProtection="1"/>
    <xf numFmtId="14" fontId="14" fillId="0" borderId="0" xfId="0" applyNumberFormat="1" applyFont="1" applyAlignment="1" applyProtection="1">
      <alignment horizontal="right"/>
    </xf>
    <xf numFmtId="14" fontId="14" fillId="0" borderId="0" xfId="0" applyNumberFormat="1" applyFont="1" applyAlignment="1" applyProtection="1">
      <alignment horizontal="left"/>
    </xf>
    <xf numFmtId="0" fontId="34" fillId="0" borderId="0" xfId="0" applyFont="1" applyAlignment="1" applyProtection="1">
      <alignment horizontal="center"/>
    </xf>
    <xf numFmtId="0" fontId="4" fillId="12" borderId="0" xfId="0" applyFont="1" applyFill="1" applyProtection="1"/>
    <xf numFmtId="0" fontId="0" fillId="12" borderId="0" xfId="0" applyFont="1" applyFill="1" applyProtection="1"/>
    <xf numFmtId="3" fontId="0" fillId="0" borderId="0" xfId="0" applyNumberFormat="1" applyFont="1" applyProtection="1"/>
    <xf numFmtId="0" fontId="36" fillId="0" borderId="0" xfId="0" applyFont="1" applyProtection="1"/>
    <xf numFmtId="170" fontId="0" fillId="0" borderId="5" xfId="2" applyNumberFormat="1" applyFont="1" applyBorder="1" applyAlignment="1" applyProtection="1">
      <alignment horizontal="center"/>
      <protection locked="0"/>
    </xf>
    <xf numFmtId="0" fontId="0" fillId="0" borderId="12" xfId="0" applyFont="1" applyBorder="1" applyProtection="1"/>
    <xf numFmtId="0" fontId="0" fillId="0" borderId="6" xfId="0" applyFont="1" applyBorder="1" applyProtection="1"/>
    <xf numFmtId="3" fontId="0" fillId="3" borderId="4" xfId="0" applyNumberFormat="1" applyFont="1" applyFill="1" applyBorder="1" applyProtection="1">
      <protection locked="0"/>
    </xf>
    <xf numFmtId="0" fontId="0" fillId="0" borderId="0" xfId="0" applyFont="1" applyAlignment="1" applyProtection="1">
      <alignment horizontal="left"/>
    </xf>
    <xf numFmtId="0" fontId="4" fillId="12" borderId="0" xfId="0" applyFont="1" applyFill="1" applyAlignment="1" applyProtection="1">
      <alignment horizontal="right"/>
    </xf>
    <xf numFmtId="2" fontId="0" fillId="3" borderId="4" xfId="0" applyNumberFormat="1" applyFont="1" applyFill="1" applyBorder="1" applyProtection="1">
      <protection locked="0"/>
    </xf>
    <xf numFmtId="0" fontId="4" fillId="0" borderId="10" xfId="0" applyFont="1" applyBorder="1" applyAlignment="1" applyProtection="1">
      <alignment horizontal="center"/>
    </xf>
    <xf numFmtId="166" fontId="0" fillId="0" borderId="0" xfId="0" applyNumberFormat="1" applyFont="1" applyAlignment="1" applyProtection="1">
      <alignment horizontal="center"/>
    </xf>
    <xf numFmtId="3" fontId="0" fillId="3" borderId="4" xfId="0" applyNumberFormat="1" applyFont="1" applyFill="1" applyBorder="1" applyAlignment="1" applyProtection="1">
      <alignment horizontal="center"/>
      <protection locked="0"/>
    </xf>
    <xf numFmtId="3" fontId="0" fillId="0" borderId="0" xfId="0" applyNumberFormat="1" applyFont="1" applyAlignment="1" applyProtection="1">
      <alignment horizontal="center"/>
    </xf>
    <xf numFmtId="166" fontId="0" fillId="3" borderId="4" xfId="0" applyNumberFormat="1" applyFont="1" applyFill="1" applyBorder="1" applyAlignment="1" applyProtection="1">
      <alignment horizontal="center"/>
      <protection locked="0"/>
    </xf>
    <xf numFmtId="3" fontId="0" fillId="3" borderId="8" xfId="0" applyNumberFormat="1" applyFont="1" applyFill="1" applyBorder="1" applyAlignment="1" applyProtection="1">
      <alignment horizontal="center"/>
      <protection locked="0"/>
    </xf>
    <xf numFmtId="166" fontId="0" fillId="3" borderId="8" xfId="0" applyNumberFormat="1" applyFont="1" applyFill="1" applyBorder="1" applyAlignment="1" applyProtection="1">
      <alignment horizontal="center"/>
      <protection locked="0"/>
    </xf>
    <xf numFmtId="168" fontId="0" fillId="0" borderId="0" xfId="1" applyNumberFormat="1" applyFont="1" applyProtection="1"/>
    <xf numFmtId="168" fontId="0" fillId="12" borderId="0" xfId="1" applyNumberFormat="1" applyFont="1" applyFill="1" applyProtection="1"/>
    <xf numFmtId="168" fontId="0" fillId="0" borderId="0" xfId="0" applyNumberFormat="1" applyFont="1" applyProtection="1"/>
    <xf numFmtId="0" fontId="0" fillId="12" borderId="0" xfId="0" applyFont="1" applyFill="1" applyAlignment="1" applyProtection="1">
      <alignment horizontal="center"/>
    </xf>
    <xf numFmtId="0" fontId="36" fillId="0" borderId="0" xfId="0" applyFont="1" applyAlignment="1" applyProtection="1">
      <alignment horizontal="center"/>
    </xf>
    <xf numFmtId="168" fontId="0" fillId="0" borderId="0" xfId="1" applyNumberFormat="1" applyFont="1" applyAlignment="1" applyProtection="1">
      <alignment horizontal="center"/>
    </xf>
    <xf numFmtId="0" fontId="37" fillId="0" borderId="10" xfId="0" applyFont="1" applyBorder="1" applyProtection="1"/>
    <xf numFmtId="0" fontId="37" fillId="0" borderId="0" xfId="0" applyFont="1" applyProtection="1"/>
    <xf numFmtId="0" fontId="37" fillId="0" borderId="0" xfId="0" applyFont="1" applyBorder="1" applyProtection="1"/>
    <xf numFmtId="0" fontId="37" fillId="0" borderId="0" xfId="0" applyFont="1" applyBorder="1" applyAlignment="1" applyProtection="1">
      <alignment horizontal="center"/>
    </xf>
    <xf numFmtId="0" fontId="21" fillId="0" borderId="0" xfId="0" applyFont="1" applyAlignment="1" applyProtection="1">
      <alignment horizontal="right"/>
    </xf>
    <xf numFmtId="2" fontId="9" fillId="21" borderId="17" xfId="0" applyNumberFormat="1" applyFont="1" applyFill="1" applyBorder="1" applyProtection="1">
      <protection locked="0"/>
    </xf>
    <xf numFmtId="0" fontId="9" fillId="19" borderId="0" xfId="0" applyFont="1" applyFill="1" applyProtection="1"/>
    <xf numFmtId="0" fontId="8" fillId="0" borderId="0" xfId="0" applyFont="1" applyBorder="1" applyProtection="1"/>
    <xf numFmtId="170" fontId="8" fillId="0" borderId="0" xfId="2" applyNumberFormat="1" applyFont="1" applyBorder="1" applyAlignment="1" applyProtection="1">
      <alignment horizontal="right"/>
    </xf>
    <xf numFmtId="2" fontId="9" fillId="0" borderId="0" xfId="0" applyNumberFormat="1" applyFont="1" applyProtection="1"/>
    <xf numFmtId="0" fontId="9" fillId="0" borderId="0" xfId="0" applyFont="1" applyAlignment="1" applyProtection="1">
      <alignment horizontal="center"/>
    </xf>
    <xf numFmtId="0" fontId="9" fillId="17" borderId="0" xfId="0" applyFont="1" applyFill="1" applyProtection="1"/>
    <xf numFmtId="0" fontId="8" fillId="17" borderId="0" xfId="0" applyFont="1" applyFill="1" applyProtection="1"/>
    <xf numFmtId="0" fontId="8" fillId="0" borderId="10" xfId="0" applyFont="1" applyBorder="1" applyAlignment="1" applyProtection="1">
      <alignment horizontal="center"/>
    </xf>
    <xf numFmtId="3" fontId="8" fillId="12" borderId="17" xfId="0" applyNumberFormat="1" applyFont="1" applyFill="1" applyBorder="1" applyAlignment="1" applyProtection="1">
      <alignment horizontal="center"/>
      <protection locked="0"/>
    </xf>
    <xf numFmtId="3" fontId="8" fillId="0" borderId="0" xfId="0" applyNumberFormat="1" applyFont="1" applyAlignment="1" applyProtection="1">
      <alignment horizontal="center"/>
    </xf>
    <xf numFmtId="2" fontId="8" fillId="12" borderId="17" xfId="0" applyNumberFormat="1" applyFont="1" applyFill="1" applyBorder="1" applyAlignment="1" applyProtection="1">
      <alignment horizontal="center"/>
      <protection locked="0"/>
    </xf>
    <xf numFmtId="3" fontId="8" fillId="12" borderId="8" xfId="0" applyNumberFormat="1" applyFont="1" applyFill="1" applyBorder="1" applyAlignment="1" applyProtection="1">
      <alignment horizontal="center"/>
      <protection locked="0"/>
    </xf>
    <xf numFmtId="0" fontId="38" fillId="0" borderId="0" xfId="0" applyFont="1" applyProtection="1"/>
    <xf numFmtId="2" fontId="8" fillId="12" borderId="8" xfId="0" applyNumberFormat="1" applyFont="1" applyFill="1" applyBorder="1" applyAlignment="1" applyProtection="1">
      <alignment horizontal="center"/>
      <protection locked="0"/>
    </xf>
    <xf numFmtId="0" fontId="8" fillId="17" borderId="0" xfId="0" applyFont="1" applyFill="1" applyAlignment="1" applyProtection="1">
      <alignment horizontal="right"/>
    </xf>
    <xf numFmtId="169" fontId="8" fillId="17" borderId="0" xfId="0" applyNumberFormat="1" applyFont="1" applyFill="1" applyAlignment="1" applyProtection="1">
      <alignment horizontal="center"/>
    </xf>
    <xf numFmtId="3" fontId="0" fillId="0" borderId="3" xfId="0" applyNumberFormat="1" applyFont="1" applyBorder="1" applyAlignment="1" applyProtection="1">
      <alignment horizontal="center"/>
    </xf>
    <xf numFmtId="168" fontId="8" fillId="0" borderId="0" xfId="0" applyNumberFormat="1" applyFont="1" applyAlignment="1" applyProtection="1">
      <alignment horizontal="center"/>
    </xf>
    <xf numFmtId="0" fontId="14" fillId="0" borderId="10" xfId="0" applyFont="1" applyBorder="1" applyProtection="1"/>
    <xf numFmtId="0" fontId="7" fillId="19" borderId="0" xfId="0" applyFont="1" applyFill="1" applyProtection="1"/>
    <xf numFmtId="1" fontId="14" fillId="0" borderId="0" xfId="0" applyNumberFormat="1" applyFont="1" applyAlignment="1" applyProtection="1">
      <alignment horizontal="center" wrapText="1"/>
    </xf>
    <xf numFmtId="37" fontId="14" fillId="0" borderId="0" xfId="0" applyNumberFormat="1" applyFont="1" applyAlignment="1" applyProtection="1">
      <alignment horizontal="center" wrapText="1"/>
    </xf>
    <xf numFmtId="2" fontId="14" fillId="0" borderId="10" xfId="0" applyNumberFormat="1" applyFont="1" applyBorder="1" applyAlignment="1" applyProtection="1">
      <alignment horizontal="center"/>
    </xf>
    <xf numFmtId="166" fontId="14" fillId="0" borderId="10" xfId="0" applyNumberFormat="1" applyFont="1" applyBorder="1" applyAlignment="1" applyProtection="1">
      <alignment horizontal="center"/>
    </xf>
    <xf numFmtId="37" fontId="14" fillId="0" borderId="10" xfId="0" applyNumberFormat="1" applyFont="1" applyBorder="1" applyAlignment="1" applyProtection="1">
      <alignment horizontal="center"/>
    </xf>
    <xf numFmtId="1" fontId="14" fillId="0" borderId="10" xfId="0" applyNumberFormat="1" applyFont="1" applyBorder="1" applyAlignment="1" applyProtection="1">
      <alignment horizontal="center"/>
    </xf>
    <xf numFmtId="0" fontId="14" fillId="12" borderId="17" xfId="0" applyNumberFormat="1" applyFont="1" applyFill="1" applyBorder="1" applyAlignment="1" applyProtection="1">
      <alignment horizontal="center"/>
      <protection locked="0"/>
    </xf>
    <xf numFmtId="39" fontId="14" fillId="12" borderId="17" xfId="0" applyNumberFormat="1" applyFont="1" applyFill="1" applyBorder="1" applyAlignment="1" applyProtection="1">
      <alignment horizontal="center"/>
      <protection locked="0"/>
    </xf>
    <xf numFmtId="3" fontId="14" fillId="12" borderId="17" xfId="0" applyNumberFormat="1" applyFont="1" applyFill="1" applyBorder="1" applyAlignment="1" applyProtection="1">
      <alignment horizontal="center"/>
      <protection locked="0"/>
    </xf>
    <xf numFmtId="39" fontId="14" fillId="0" borderId="0" xfId="0" applyNumberFormat="1" applyFont="1" applyAlignment="1" applyProtection="1">
      <alignment horizontal="center"/>
    </xf>
    <xf numFmtId="0" fontId="14" fillId="12" borderId="8" xfId="0" applyNumberFormat="1" applyFont="1" applyFill="1" applyBorder="1" applyAlignment="1" applyProtection="1">
      <alignment horizontal="center"/>
      <protection locked="0"/>
    </xf>
    <xf numFmtId="39" fontId="14" fillId="12" borderId="8" xfId="0" applyNumberFormat="1" applyFont="1" applyFill="1" applyBorder="1" applyAlignment="1" applyProtection="1">
      <alignment horizontal="center"/>
      <protection locked="0"/>
    </xf>
    <xf numFmtId="3" fontId="14" fillId="12" borderId="8" xfId="0" applyNumberFormat="1" applyFont="1" applyFill="1" applyBorder="1" applyAlignment="1" applyProtection="1">
      <alignment horizontal="center"/>
      <protection locked="0"/>
    </xf>
    <xf numFmtId="0" fontId="14" fillId="0" borderId="0" xfId="0" applyFont="1" applyAlignment="1" applyProtection="1">
      <alignment horizontal="center" wrapText="1"/>
    </xf>
    <xf numFmtId="166" fontId="14" fillId="0" borderId="0" xfId="0" applyNumberFormat="1" applyFont="1" applyAlignment="1" applyProtection="1">
      <alignment horizontal="center" wrapText="1"/>
    </xf>
    <xf numFmtId="168" fontId="14" fillId="0" borderId="0" xfId="0" applyNumberFormat="1" applyFont="1" applyAlignment="1" applyProtection="1">
      <alignment horizontal="center"/>
    </xf>
    <xf numFmtId="1" fontId="14" fillId="12" borderId="17" xfId="0" applyNumberFormat="1" applyFont="1" applyFill="1" applyBorder="1" applyAlignment="1" applyProtection="1">
      <alignment horizontal="center"/>
      <protection locked="0"/>
    </xf>
    <xf numFmtId="1" fontId="14" fillId="12" borderId="8" xfId="0" applyNumberFormat="1" applyFont="1" applyFill="1" applyBorder="1" applyAlignment="1" applyProtection="1">
      <alignment horizontal="center"/>
      <protection locked="0"/>
    </xf>
    <xf numFmtId="0" fontId="26" fillId="0" borderId="0" xfId="0" applyFont="1" applyAlignment="1" applyProtection="1">
      <alignment horizontal="left"/>
    </xf>
    <xf numFmtId="165" fontId="0" fillId="0" borderId="0" xfId="0" applyNumberFormat="1" applyFont="1" applyAlignment="1" applyProtection="1">
      <alignment horizontal="center"/>
    </xf>
    <xf numFmtId="37" fontId="0" fillId="0" borderId="0" xfId="0" applyNumberFormat="1" applyFont="1" applyAlignment="1" applyProtection="1">
      <alignment horizontal="center"/>
    </xf>
    <xf numFmtId="0" fontId="5" fillId="0" borderId="0" xfId="0" applyFont="1" applyAlignment="1">
      <alignment horizontal="center"/>
    </xf>
    <xf numFmtId="0" fontId="7" fillId="0" borderId="0" xfId="0" applyFont="1" applyAlignment="1">
      <alignment horizontal="center"/>
    </xf>
    <xf numFmtId="0" fontId="0" fillId="0" borderId="3" xfId="0" applyFont="1" applyBorder="1" applyAlignment="1">
      <alignment horizontal="center"/>
    </xf>
    <xf numFmtId="0" fontId="0" fillId="0" borderId="0" xfId="0" applyFont="1" applyAlignment="1">
      <alignment horizontal="center"/>
    </xf>
    <xf numFmtId="0" fontId="0" fillId="0" borderId="0" xfId="0" applyFont="1" applyFill="1" applyAlignment="1" applyProtection="1">
      <alignment horizontal="right" wrapText="1"/>
    </xf>
    <xf numFmtId="0" fontId="0" fillId="8" borderId="0" xfId="0" applyFont="1" applyFill="1" applyAlignment="1" applyProtection="1">
      <alignment horizontal="left"/>
      <protection locked="0"/>
    </xf>
    <xf numFmtId="0" fontId="0" fillId="8" borderId="4" xfId="0" applyFont="1" applyFill="1" applyBorder="1" applyAlignment="1" applyProtection="1">
      <alignment horizontal="left"/>
      <protection locked="0"/>
    </xf>
    <xf numFmtId="0" fontId="5" fillId="0" borderId="0" xfId="0" applyFont="1" applyAlignment="1" applyProtection="1">
      <alignment horizontal="center"/>
    </xf>
    <xf numFmtId="3" fontId="0" fillId="0" borderId="0" xfId="0" applyNumberFormat="1" applyFont="1" applyAlignment="1" applyProtection="1">
      <alignment horizontal="right"/>
    </xf>
    <xf numFmtId="0" fontId="0" fillId="0" borderId="0" xfId="0" applyFont="1" applyAlignment="1" applyProtection="1">
      <alignment horizontal="right"/>
    </xf>
    <xf numFmtId="0" fontId="0" fillId="8" borderId="0" xfId="0" applyFont="1" applyFill="1" applyBorder="1" applyAlignment="1" applyProtection="1">
      <alignment horizontal="left" wrapText="1"/>
      <protection locked="0"/>
    </xf>
    <xf numFmtId="0" fontId="0" fillId="8" borderId="4" xfId="0" applyFont="1" applyFill="1" applyBorder="1" applyAlignment="1" applyProtection="1">
      <alignment horizontal="left" wrapText="1"/>
      <protection locked="0"/>
    </xf>
    <xf numFmtId="0" fontId="8" fillId="8" borderId="4" xfId="0" applyFont="1" applyFill="1" applyBorder="1" applyAlignment="1" applyProtection="1">
      <alignment horizontal="left"/>
      <protection locked="0"/>
    </xf>
    <xf numFmtId="0" fontId="9" fillId="0" borderId="0" xfId="0" applyFont="1" applyAlignment="1" applyProtection="1">
      <alignment horizontal="right"/>
    </xf>
    <xf numFmtId="14" fontId="8" fillId="8" borderId="4" xfId="0" applyNumberFormat="1" applyFont="1" applyFill="1" applyBorder="1" applyAlignment="1" applyProtection="1">
      <alignment horizontal="left"/>
      <protection locked="0"/>
    </xf>
    <xf numFmtId="0" fontId="8" fillId="0" borderId="0" xfId="0" applyFont="1" applyAlignment="1" applyProtection="1">
      <alignment horizontal="left"/>
    </xf>
    <xf numFmtId="168" fontId="0" fillId="0" borderId="0" xfId="1" applyNumberFormat="1" applyFont="1" applyFill="1" applyAlignment="1" applyProtection="1">
      <alignment horizontal="center"/>
    </xf>
    <xf numFmtId="0" fontId="0" fillId="0" borderId="0" xfId="0" applyFont="1" applyFill="1" applyAlignment="1" applyProtection="1">
      <alignment horizontal="left" wrapText="1"/>
    </xf>
    <xf numFmtId="0" fontId="19" fillId="10" borderId="0" xfId="0" applyFont="1" applyFill="1" applyAlignment="1" applyProtection="1">
      <alignment horizontal="center" vertical="center" wrapText="1"/>
    </xf>
    <xf numFmtId="0" fontId="14" fillId="0" borderId="0" xfId="0" applyFont="1" applyFill="1" applyAlignment="1" applyProtection="1">
      <alignment horizontal="left"/>
    </xf>
    <xf numFmtId="0" fontId="7" fillId="0" borderId="0" xfId="0" applyFont="1" applyAlignment="1" applyProtection="1">
      <alignment horizontal="center"/>
    </xf>
    <xf numFmtId="2" fontId="14" fillId="3" borderId="3" xfId="0" applyNumberFormat="1" applyFont="1" applyFill="1" applyBorder="1" applyAlignment="1" applyProtection="1">
      <alignment horizontal="left"/>
      <protection locked="0"/>
    </xf>
    <xf numFmtId="14" fontId="14" fillId="0" borderId="0" xfId="0" applyNumberFormat="1" applyFont="1" applyFill="1" applyAlignment="1" applyProtection="1">
      <alignment horizontal="left"/>
    </xf>
    <xf numFmtId="0" fontId="15" fillId="4" borderId="0" xfId="0" applyFont="1" applyFill="1" applyAlignment="1" applyProtection="1">
      <alignment horizontal="center"/>
    </xf>
    <xf numFmtId="0" fontId="0" fillId="0" borderId="3" xfId="0" applyFont="1" applyBorder="1" applyAlignment="1" applyProtection="1">
      <alignment horizontal="center"/>
    </xf>
    <xf numFmtId="164" fontId="0" fillId="10" borderId="0" xfId="0" applyNumberFormat="1" applyFont="1" applyFill="1" applyAlignment="1" applyProtection="1">
      <alignment horizontal="center"/>
    </xf>
    <xf numFmtId="0" fontId="15" fillId="3" borderId="0" xfId="0" applyFont="1" applyFill="1" applyAlignment="1" applyProtection="1">
      <alignment horizontal="center"/>
    </xf>
    <xf numFmtId="0" fontId="23" fillId="12" borderId="0" xfId="0" applyFont="1" applyFill="1" applyAlignment="1" applyProtection="1">
      <alignment horizontal="center"/>
    </xf>
    <xf numFmtId="0" fontId="26" fillId="0" borderId="0" xfId="0" applyFont="1" applyAlignment="1" applyProtection="1">
      <alignment horizontal="left" vertical="top" wrapText="1"/>
    </xf>
    <xf numFmtId="14" fontId="8" fillId="0" borderId="0" xfId="0" applyNumberFormat="1" applyFont="1" applyAlignment="1" applyProtection="1">
      <alignment horizontal="left"/>
    </xf>
    <xf numFmtId="0" fontId="9" fillId="15" borderId="0" xfId="0" applyFont="1" applyFill="1" applyAlignment="1" applyProtection="1">
      <alignment horizontal="center"/>
    </xf>
    <xf numFmtId="0" fontId="8" fillId="0" borderId="0" xfId="0" applyFont="1" applyAlignment="1" applyProtection="1">
      <alignment horizontal="center"/>
    </xf>
    <xf numFmtId="0" fontId="9" fillId="16" borderId="0" xfId="0" applyFont="1" applyFill="1" applyAlignment="1" applyProtection="1">
      <alignment horizontal="center"/>
    </xf>
    <xf numFmtId="0" fontId="17" fillId="21" borderId="0" xfId="0" applyFont="1" applyFill="1" applyAlignment="1" applyProtection="1">
      <alignment horizontal="center" wrapText="1"/>
    </xf>
    <xf numFmtId="0" fontId="9" fillId="12" borderId="0" xfId="0" applyFont="1" applyFill="1" applyAlignment="1" applyProtection="1">
      <alignment horizontal="center"/>
    </xf>
    <xf numFmtId="0" fontId="9" fillId="13" borderId="0" xfId="0" applyFont="1" applyFill="1" applyAlignment="1" applyProtection="1">
      <alignment horizontal="center"/>
    </xf>
    <xf numFmtId="0" fontId="14" fillId="0" borderId="0" xfId="0" applyFont="1" applyAlignment="1" applyProtection="1">
      <alignment horizontal="left"/>
    </xf>
    <xf numFmtId="14" fontId="14" fillId="0" borderId="0" xfId="0" applyNumberFormat="1" applyFont="1" applyAlignment="1" applyProtection="1">
      <alignment horizontal="left"/>
    </xf>
    <xf numFmtId="0" fontId="18" fillId="2" borderId="0" xfId="0" applyFont="1" applyFill="1" applyAlignment="1" applyProtection="1">
      <alignment horizontal="center"/>
    </xf>
    <xf numFmtId="0" fontId="0" fillId="0" borderId="11" xfId="0" applyFont="1" applyBorder="1" applyAlignment="1" applyProtection="1">
      <alignment horizontal="center"/>
    </xf>
    <xf numFmtId="0" fontId="0" fillId="0" borderId="12" xfId="0" applyFont="1" applyBorder="1" applyAlignment="1" applyProtection="1">
      <alignment horizontal="center"/>
    </xf>
    <xf numFmtId="0" fontId="0" fillId="0" borderId="6" xfId="0" applyFont="1" applyBorder="1" applyAlignment="1" applyProtection="1">
      <alignment horizontal="center"/>
    </xf>
    <xf numFmtId="0" fontId="14" fillId="3" borderId="0" xfId="0" applyFont="1" applyFill="1" applyAlignment="1" applyProtection="1">
      <alignment horizontal="center"/>
    </xf>
    <xf numFmtId="0" fontId="0" fillId="3" borderId="4" xfId="0" applyFont="1" applyFill="1" applyBorder="1" applyAlignment="1" applyProtection="1">
      <alignment horizontal="left"/>
      <protection locked="0"/>
    </xf>
    <xf numFmtId="0" fontId="8" fillId="12" borderId="0" xfId="0" applyFont="1" applyFill="1" applyAlignment="1" applyProtection="1">
      <alignment horizontal="center"/>
    </xf>
    <xf numFmtId="0" fontId="9" fillId="0" borderId="0" xfId="0" applyFont="1" applyBorder="1" applyAlignment="1" applyProtection="1">
      <alignment horizontal="center"/>
    </xf>
    <xf numFmtId="0" fontId="9" fillId="19" borderId="0" xfId="0" applyFont="1" applyFill="1" applyAlignment="1" applyProtection="1">
      <alignment horizontal="right"/>
    </xf>
    <xf numFmtId="0" fontId="17" fillId="7" borderId="0" xfId="0" applyFont="1" applyFill="1" applyAlignment="1" applyProtection="1">
      <alignment horizontal="center" wrapText="1"/>
    </xf>
    <xf numFmtId="0" fontId="14" fillId="12" borderId="0" xfId="0" applyFont="1" applyFill="1" applyAlignment="1" applyProtection="1">
      <alignment horizontal="center"/>
    </xf>
  </cellXfs>
  <cellStyles count="3">
    <cellStyle name="Comma" xfId="2" builtinId="3"/>
    <cellStyle name="Normal" xfId="0" builtinId="0"/>
    <cellStyle name="Percent" xfId="1" builtinId="5"/>
  </cellStyles>
  <dxfs count="18">
    <dxf>
      <font>
        <b/>
        <i val="0"/>
        <color theme="0"/>
      </font>
      <fill>
        <patternFill>
          <bgColor theme="9"/>
        </patternFill>
      </fill>
    </dxf>
    <dxf>
      <font>
        <b/>
        <i val="0"/>
        <color theme="0"/>
      </font>
      <fill>
        <patternFill>
          <bgColor rgb="FFC00000"/>
        </patternFill>
      </fill>
    </dxf>
    <dxf>
      <font>
        <b/>
        <i val="0"/>
        <color theme="0"/>
      </font>
      <fill>
        <patternFill>
          <bgColor theme="9"/>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color theme="0"/>
      </font>
      <fill>
        <patternFill>
          <bgColor rgb="FFFFC000"/>
        </patternFill>
      </fill>
    </dxf>
    <dxf>
      <font>
        <b/>
        <i val="0"/>
        <color theme="0"/>
      </font>
      <fill>
        <patternFill>
          <bgColor theme="9"/>
        </patternFill>
      </fill>
    </dxf>
    <dxf>
      <font>
        <b/>
        <i val="0"/>
        <color theme="0"/>
      </font>
      <fill>
        <patternFill>
          <bgColor rgb="FFC00000"/>
        </patternFill>
      </fill>
    </dxf>
    <dxf>
      <font>
        <color rgb="FF9C0006"/>
      </font>
      <fill>
        <patternFill>
          <bgColor rgb="FFFFC7CE"/>
        </patternFill>
      </fill>
    </dxf>
    <dxf>
      <font>
        <color rgb="FF9C0006"/>
      </font>
      <fill>
        <patternFill>
          <bgColor rgb="FFFFC7CE"/>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
      <font>
        <b/>
        <i val="0"/>
        <color theme="0"/>
      </font>
      <fill>
        <patternFill>
          <bgColor rgb="FFC00000"/>
        </patternFill>
      </fill>
    </dxf>
    <dxf>
      <font>
        <b/>
        <i val="0"/>
        <color theme="0"/>
      </font>
      <fill>
        <patternFill>
          <bgColor rgb="FF00B050"/>
        </patternFill>
      </fill>
    </dxf>
  </dxfs>
  <tableStyles count="0" defaultTableStyle="TableStyleMedium9" defaultPivotStyle="PivotStyleLight16"/>
  <colors>
    <mruColors>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167640</xdr:colOff>
      <xdr:row>1</xdr:row>
      <xdr:rowOff>154304</xdr:rowOff>
    </xdr:from>
    <xdr:ext cx="5684520" cy="8341996"/>
    <xdr:sp macro="" textlink="">
      <xdr:nvSpPr>
        <xdr:cNvPr id="2" name="TextBox 1">
          <a:extLst>
            <a:ext uri="{FF2B5EF4-FFF2-40B4-BE49-F238E27FC236}">
              <a16:creationId xmlns:a16="http://schemas.microsoft.com/office/drawing/2014/main" id="{5A9DE273-DDA8-4E4F-BD14-9BBB479487E5}"/>
            </a:ext>
          </a:extLst>
        </xdr:cNvPr>
        <xdr:cNvSpPr txBox="1"/>
      </xdr:nvSpPr>
      <xdr:spPr>
        <a:xfrm>
          <a:off x="167640" y="316229"/>
          <a:ext cx="5684520" cy="834199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latin typeface="+mn-lt"/>
            </a:rPr>
            <a:t>Purpose:</a:t>
          </a:r>
        </a:p>
        <a:p>
          <a:pPr algn="l"/>
          <a:r>
            <a:rPr lang="en-US" sz="1100">
              <a:latin typeface="+mn-lt"/>
            </a:rPr>
            <a:t>This</a:t>
          </a:r>
          <a:r>
            <a:rPr lang="en-US" sz="1100" baseline="0">
              <a:latin typeface="+mn-lt"/>
            </a:rPr>
            <a:t> spreadsheet file has been created to assist in the design and review of Bioretention Cell Projects which are seeking or have obtained funding through the State of Iowa's water quality programs.</a:t>
          </a:r>
        </a:p>
        <a:p>
          <a:pPr algn="l"/>
          <a:endParaRPr lang="en-US" sz="1100" baseline="0">
            <a:latin typeface="+mn-lt"/>
          </a:endParaRPr>
        </a:p>
        <a:p>
          <a:pPr algn="l"/>
          <a:r>
            <a:rPr lang="en-US" sz="1100" baseline="0">
              <a:latin typeface="+mn-lt"/>
            </a:rPr>
            <a:t>This document is intended to be completed by the designer to provide review agencies with project data assembled and presented for review in a consistent manner from project to project.</a:t>
          </a:r>
        </a:p>
        <a:p>
          <a:pPr algn="l"/>
          <a:endParaRPr lang="en-US" sz="1100" baseline="0">
            <a:latin typeface="+mn-lt"/>
          </a:endParaRPr>
        </a:p>
        <a:p>
          <a:pPr algn="l"/>
          <a:r>
            <a:rPr lang="en-US" sz="1100" baseline="0">
              <a:latin typeface="+mn-lt"/>
            </a:rPr>
            <a:t>Using data entered by the designer (data to be entered within the provided blank shaded boxes on each tabulation sheet), this document will complete many of the basic sizing calculation steps following the methods described within the Iowa Stormwater Management Manual (ISWMM).</a:t>
          </a:r>
        </a:p>
        <a:p>
          <a:endParaRPr lang="en-US" sz="1100" baseline="0">
            <a:latin typeface="+mn-lt"/>
          </a:endParaRPr>
        </a:p>
        <a:p>
          <a:r>
            <a:rPr lang="en-US" sz="1100" b="1" u="sng" baseline="0">
              <a:latin typeface="+mn-lt"/>
            </a:rPr>
            <a:t>Contents:</a:t>
          </a:r>
        </a:p>
        <a:p>
          <a:r>
            <a:rPr lang="en-US" sz="1100" b="0" baseline="0">
              <a:solidFill>
                <a:srgbClr val="C00000"/>
              </a:solidFill>
              <a:latin typeface="+mn-lt"/>
            </a:rPr>
            <a:t>Checklists (to be completed and provided as part of State of Iowa water quality project review):</a:t>
          </a:r>
        </a:p>
        <a:p>
          <a:r>
            <a:rPr lang="en-US" sz="1100" baseline="0">
              <a:latin typeface="+mn-lt"/>
            </a:rPr>
            <a:t>CL_1: Project Review (2 pages)</a:t>
          </a:r>
        </a:p>
        <a:p>
          <a:r>
            <a:rPr lang="en-US" sz="1100" baseline="0">
              <a:solidFill>
                <a:schemeClr val="tx1"/>
              </a:solidFill>
              <a:effectLst/>
              <a:latin typeface="+mn-lt"/>
              <a:ea typeface="+mn-ea"/>
              <a:cs typeface="+mn-cs"/>
            </a:rPr>
            <a:t>DWS: Design Worksheet Report Form</a:t>
          </a:r>
        </a:p>
        <a:p>
          <a:r>
            <a:rPr lang="en-US" sz="1100" baseline="0">
              <a:solidFill>
                <a:schemeClr val="tx1"/>
              </a:solidFill>
              <a:effectLst/>
              <a:latin typeface="+mn-lt"/>
              <a:ea typeface="+mn-ea"/>
              <a:cs typeface="+mn-cs"/>
            </a:rPr>
            <a:t>Step 3: Diversion Structure Worksheet</a:t>
          </a:r>
        </a:p>
        <a:p>
          <a:r>
            <a:rPr lang="en-US" sz="1100" baseline="0">
              <a:solidFill>
                <a:schemeClr val="tx1"/>
              </a:solidFill>
              <a:effectLst/>
              <a:latin typeface="+mn-lt"/>
              <a:ea typeface="+mn-ea"/>
              <a:cs typeface="+mn-cs"/>
            </a:rPr>
            <a:t>IWS: Internal Water Storage Worksheet</a:t>
          </a:r>
        </a:p>
        <a:p>
          <a:r>
            <a:rPr lang="en-US" sz="1100" baseline="0">
              <a:solidFill>
                <a:schemeClr val="tx1"/>
              </a:solidFill>
              <a:effectLst/>
              <a:latin typeface="+mn-lt"/>
              <a:ea typeface="+mn-ea"/>
              <a:cs typeface="+mn-cs"/>
            </a:rPr>
            <a:t>DE_1: Design Summary</a:t>
          </a:r>
        </a:p>
        <a:p>
          <a:r>
            <a:rPr lang="en-US" sz="1100" baseline="0">
              <a:solidFill>
                <a:schemeClr val="tx1"/>
              </a:solidFill>
              <a:effectLst/>
              <a:latin typeface="+mn-lt"/>
              <a:ea typeface="+mn-ea"/>
              <a:cs typeface="+mn-cs"/>
            </a:rPr>
            <a:t>DE_2: Detention Watershed Data Entry Sheet</a:t>
          </a:r>
        </a:p>
        <a:p>
          <a:r>
            <a:rPr lang="en-US" sz="1100" baseline="0">
              <a:solidFill>
                <a:schemeClr val="tx1"/>
              </a:solidFill>
              <a:effectLst/>
              <a:latin typeface="+mn-lt"/>
              <a:ea typeface="+mn-ea"/>
              <a:cs typeface="+mn-cs"/>
            </a:rPr>
            <a:t>DE_3: Detention Hydrology</a:t>
          </a:r>
        </a:p>
        <a:p>
          <a:r>
            <a:rPr lang="en-US" sz="1100" baseline="0">
              <a:solidFill>
                <a:schemeClr val="tx1"/>
              </a:solidFill>
              <a:effectLst/>
              <a:latin typeface="+mn-lt"/>
              <a:ea typeface="+mn-ea"/>
              <a:cs typeface="+mn-cs"/>
            </a:rPr>
            <a:t>DE_4: Pre-treatment</a:t>
          </a:r>
        </a:p>
        <a:p>
          <a:r>
            <a:rPr lang="en-US" sz="1100" baseline="0">
              <a:solidFill>
                <a:schemeClr val="tx1"/>
              </a:solidFill>
              <a:effectLst/>
              <a:latin typeface="+mn-lt"/>
              <a:ea typeface="+mn-ea"/>
              <a:cs typeface="+mn-cs"/>
            </a:rPr>
            <a:t>DE_5: Detention Stage-Storage Data Entry Sheet</a:t>
          </a:r>
        </a:p>
        <a:p>
          <a:r>
            <a:rPr lang="en-US" sz="1100" baseline="0">
              <a:solidFill>
                <a:schemeClr val="tx1"/>
              </a:solidFill>
              <a:effectLst/>
              <a:latin typeface="+mn-lt"/>
              <a:ea typeface="+mn-ea"/>
              <a:cs typeface="+mn-cs"/>
            </a:rPr>
            <a:t>DE_6: Results</a:t>
          </a:r>
          <a:endParaRPr lang="en-US">
            <a:effectLst/>
            <a:latin typeface="+mn-lt"/>
          </a:endParaRPr>
        </a:p>
        <a:p>
          <a:endParaRPr lang="en-US" sz="1100" b="1" u="sng" baseline="0">
            <a:solidFill>
              <a:srgbClr val="002060"/>
            </a:solidFill>
            <a:latin typeface="+mn-lt"/>
          </a:endParaRPr>
        </a:p>
        <a:p>
          <a:r>
            <a:rPr lang="en-US" sz="1100" b="1" u="sng" baseline="0">
              <a:solidFill>
                <a:srgbClr val="002060"/>
              </a:solidFill>
              <a:latin typeface="+mn-lt"/>
            </a:rPr>
            <a:t>APPLICATION: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rgbClr val="002060"/>
              </a:solidFill>
              <a:effectLst/>
              <a:latin typeface="+mn-lt"/>
              <a:ea typeface="+mn-ea"/>
              <a:cs typeface="+mn-cs"/>
            </a:rPr>
            <a:t>This checklist is intended to be used for small scale bioretention cell applications.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rgbClr val="00206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rgbClr val="002060"/>
              </a:solidFill>
              <a:effectLst/>
              <a:latin typeface="+mn-lt"/>
              <a:ea typeface="+mn-ea"/>
              <a:cs typeface="+mn-cs"/>
            </a:rPr>
            <a:t>This form may be used for projects that manage runoff from storm events larger than the Water Quality Event (WQv - 1.25" rainfall) and/or projects that require a diversion structure to operate in "off-line" configuration.</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rgbClr val="00206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rgbClr val="002060"/>
              </a:solidFill>
              <a:effectLst/>
              <a:latin typeface="+mn-lt"/>
              <a:ea typeface="+mn-ea"/>
              <a:cs typeface="+mn-cs"/>
            </a:rPr>
            <a:t>There are other checklists available for bioretention systems that are note intended to manage larger storm events and/or have multiple bioretention applications that are collectively used to meet WQv requirements.</a:t>
          </a:r>
          <a:endParaRPr lang="en-US" sz="1100" b="1" u="sng" baseline="0">
            <a:solidFill>
              <a:srgbClr val="002060"/>
            </a:solidFill>
            <a:latin typeface="+mn-lt"/>
          </a:endParaRPr>
        </a:p>
        <a:p>
          <a:endParaRPr lang="en-US" sz="1100" b="1" u="sng" baseline="0">
            <a:latin typeface="+mn-lt"/>
          </a:endParaRPr>
        </a:p>
        <a:p>
          <a:r>
            <a:rPr lang="en-US" sz="1100" b="1" u="sng" baseline="0">
              <a:latin typeface="+mn-lt"/>
            </a:rPr>
            <a:t>DISCLAIMER:</a:t>
          </a:r>
        </a:p>
        <a:p>
          <a:r>
            <a:rPr lang="en-US" sz="1100" baseline="0">
              <a:latin typeface="+mn-lt"/>
            </a:rPr>
            <a:t>This document is intended only to be used for the purposes as described above. It is expected that designers which use this document are familiar with the Bioretention Cell chapter of ISWMM and understand the methods described within. The user of this document is ultimately responsible for the accurate entry of data into this document and to verify that all included and associated calculations performed are correct and consistent with the methods of design described within ISWMM as applicable to a given project.</a:t>
          </a:r>
        </a:p>
        <a:p>
          <a:endParaRPr lang="en-US" sz="1100" baseline="0">
            <a:latin typeface="+mn-lt"/>
          </a:endParaRPr>
        </a:p>
        <a:p>
          <a:r>
            <a:rPr lang="en-US" sz="1100" baseline="0">
              <a:latin typeface="+mn-lt"/>
            </a:rPr>
            <a:t>By providing this document for use, the State of Iowa, the Iowa Department of Agriculture and Land Stewardship, and any other entity involved in its creation assumes no responsibility for its use, associated calculations or for other project related tasks which are the responsibility of the design professional.</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10</xdr:col>
      <xdr:colOff>276225</xdr:colOff>
      <xdr:row>1</xdr:row>
      <xdr:rowOff>9525</xdr:rowOff>
    </xdr:from>
    <xdr:to>
      <xdr:col>16</xdr:col>
      <xdr:colOff>161925</xdr:colOff>
      <xdr:row>39</xdr:row>
      <xdr:rowOff>47625</xdr:rowOff>
    </xdr:to>
    <xdr:sp macro="" textlink="">
      <xdr:nvSpPr>
        <xdr:cNvPr id="2" name="TextBox 1">
          <a:extLst>
            <a:ext uri="{FF2B5EF4-FFF2-40B4-BE49-F238E27FC236}">
              <a16:creationId xmlns:a16="http://schemas.microsoft.com/office/drawing/2014/main" id="{12D1CE5B-59E2-4B7E-87AA-D9D6ECE7A06A}"/>
            </a:ext>
          </a:extLst>
        </xdr:cNvPr>
        <xdr:cNvSpPr txBox="1"/>
      </xdr:nvSpPr>
      <xdr:spPr>
        <a:xfrm>
          <a:off x="9667875" y="200025"/>
          <a:ext cx="3676650" cy="72009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a:t>
          </a:r>
          <a:r>
            <a:rPr lang="en-US" sz="1100" b="1" u="sng" baseline="0">
              <a:latin typeface="+mn-lt"/>
            </a:rPr>
            <a:t> DE_4 (Pretreatment) Tab</a:t>
          </a:r>
          <a:r>
            <a:rPr lang="en-US" sz="1100" b="1" u="sng">
              <a:latin typeface="+mn-lt"/>
            </a:rPr>
            <a:t>:</a:t>
          </a:r>
        </a:p>
        <a:p>
          <a:endParaRPr lang="en-US" sz="1100" b="1" u="sng">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rgbClr val="FF0000"/>
              </a:solidFill>
              <a:effectLst/>
              <a:latin typeface="+mn-lt"/>
              <a:ea typeface="+mn-ea"/>
              <a:cs typeface="+mn-cs"/>
            </a:rPr>
            <a:t>This tab only needs to be completed if forebays are proposed to be used for pretreatment. If other types of pretreatment are proposed, provide separate calculations, as appliable.</a:t>
          </a:r>
          <a:r>
            <a:rPr lang="en-US">
              <a:solidFill>
                <a:srgbClr val="FF0000"/>
              </a:solidFill>
              <a:latin typeface="+mn-lt"/>
            </a:rPr>
            <a: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The required WQv and pretreatment volumes will be calculated by the spreadsheet, based on data entered on previous tabs. The value will adjust if data is entered on Tab DE_1 - Design Summary regarding upstream practices treating WQv volumes. Data may also be entered for WQv or pretreatment in the cells above. (If values are manually entered, the word MANUAL will appear on the checklist). If data is entered manually, provide separate documentation of how these values were calculated.</a:t>
          </a:r>
          <a:endParaRPr lang="en-US" sz="1100">
            <a:effectLst/>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Enter the volume of any other pretreatment practices employed beyond the three forebays that would fit on this sheet (</a:t>
          </a:r>
          <a:r>
            <a:rPr lang="en-US" sz="1100" b="1" baseline="0">
              <a:solidFill>
                <a:schemeClr val="dk1"/>
              </a:solidFill>
              <a:effectLst/>
              <a:latin typeface="+mn-lt"/>
              <a:ea typeface="+mn-ea"/>
              <a:cs typeface="+mn-cs"/>
            </a:rPr>
            <a:t>Cell B9</a:t>
          </a:r>
          <a:r>
            <a:rPr lang="en-US" sz="1100" baseline="0">
              <a:solidFill>
                <a:schemeClr val="dk1"/>
              </a:solidFill>
              <a:effectLst/>
              <a:latin typeface="+mn-lt"/>
              <a:ea typeface="+mn-ea"/>
              <a:cs typeface="+mn-cs"/>
            </a:rPr>
            <a:t>).  Enter a short description of those practices in the spaces provided, if applicable. Provide separate documentation of how the pretreatment volumes for such practices were calculated.</a:t>
          </a:r>
          <a:endParaRPr lang="en-US" sz="1100">
            <a:effectLst/>
            <a:latin typeface="+mn-lt"/>
          </a:endParaRPr>
        </a:p>
        <a:p>
          <a:pPr marL="171450" indent="-171450">
            <a:buFont typeface="Arial" panose="020B0604020202020204" pitchFamily="34" charset="0"/>
            <a:buChar char="•"/>
          </a:pPr>
          <a:endParaRPr lang="en-US" sz="1100">
            <a:latin typeface="+mn-lt"/>
          </a:endParaRPr>
        </a:p>
        <a:p>
          <a:pPr marL="171450" indent="-171450">
            <a:buFont typeface="Arial" panose="020B0604020202020204" pitchFamily="34" charset="0"/>
            <a:buChar char="•"/>
          </a:pPr>
          <a:r>
            <a:rPr lang="en-US" sz="1100">
              <a:latin typeface="+mn-lt"/>
            </a:rPr>
            <a:t>For each forebay, enter the normal pool elevation and the stage-storage information. Data should</a:t>
          </a:r>
          <a:r>
            <a:rPr lang="en-US" sz="1100" baseline="0">
              <a:latin typeface="+mn-lt"/>
            </a:rPr>
            <a:t> be entered at increments not exceeding 1.0 feet to the deepest elevation of the forebay (total depth not exceeding 4.0 feet).</a:t>
          </a:r>
        </a:p>
        <a:p>
          <a:pPr marL="171450" indent="-171450">
            <a:buFont typeface="Arial" panose="020B0604020202020204" pitchFamily="34" charset="0"/>
            <a:buChar cha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latin typeface="+mn-lt"/>
            </a:rPr>
            <a:t>If data is entered in a cell within the "Depth Below Pool" column, make sure data is entered in the "Contour Area" column within the same row.</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The spreadsheet will calculate the total pretreatment volume provided at the bottom of this sheet.  Forebay storage may also be entered manually in the cell below.  (If a value is manually entered, the word MANUAL will appear on the checklist). If data is entered manually, provide separate documentation of how these values were calculated.</a:t>
          </a:r>
          <a:endParaRPr lang="en-US" sz="1100">
            <a:effectLst/>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581024</xdr:colOff>
      <xdr:row>7</xdr:row>
      <xdr:rowOff>142872</xdr:rowOff>
    </xdr:from>
    <xdr:to>
      <xdr:col>16</xdr:col>
      <xdr:colOff>200026</xdr:colOff>
      <xdr:row>35</xdr:row>
      <xdr:rowOff>76199</xdr:rowOff>
    </xdr:to>
    <xdr:sp macro="" textlink="">
      <xdr:nvSpPr>
        <xdr:cNvPr id="2" name="TextBox 1">
          <a:extLst>
            <a:ext uri="{FF2B5EF4-FFF2-40B4-BE49-F238E27FC236}">
              <a16:creationId xmlns:a16="http://schemas.microsoft.com/office/drawing/2014/main" id="{5E423F81-26E8-44BC-9CC6-2AF8695D4B3F}"/>
            </a:ext>
          </a:extLst>
        </xdr:cNvPr>
        <xdr:cNvSpPr txBox="1"/>
      </xdr:nvSpPr>
      <xdr:spPr>
        <a:xfrm>
          <a:off x="7886699" y="1228722"/>
          <a:ext cx="4533902" cy="448627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a:t>
          </a:r>
          <a:r>
            <a:rPr lang="en-US" sz="1100" b="1" u="sng" baseline="0">
              <a:latin typeface="+mn-lt"/>
            </a:rPr>
            <a:t> DE_5 (Final Storage Volumes) Tab</a:t>
          </a:r>
          <a:r>
            <a:rPr lang="en-US" sz="1100" b="1" u="sng">
              <a:latin typeface="+mn-lt"/>
            </a:rPr>
            <a:t>:</a:t>
          </a:r>
        </a:p>
        <a:p>
          <a:endParaRPr lang="en-US" sz="1100" b="1" u="sng">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srgbClr val="FF0000"/>
              </a:solidFill>
              <a:effectLst/>
              <a:uLnTx/>
              <a:uFillTx/>
              <a:latin typeface="+mn-lt"/>
              <a:ea typeface="+mn-ea"/>
              <a:cs typeface="+mn-cs"/>
            </a:rPr>
            <a:t>Use of this tab to compute provide temporary storage is OPTIONAL.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Output from modeling reports may be used to document stage-storage relationship.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sysClr val="windowText" lastClr="000000"/>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srgbClr val="FF0000"/>
              </a:solidFill>
              <a:effectLst/>
              <a:uLnTx/>
              <a:uFillTx/>
              <a:latin typeface="+mn-lt"/>
              <a:ea typeface="+mn-ea"/>
              <a:cs typeface="+mn-cs"/>
            </a:rPr>
            <a:t>If this table is not used to compute basin storage, at least the contour area nearest the 100-year high-water elevation basin would need to be entered to get the "Approximate Basin to Watershed Ratio" on Tab DE_1 (Cell E28) to compute correctly.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The required WQv and pretreatment volumes will fill in if related cells on Tabs DE_1 and Step 3 are completed. Data may also be entered manually above. (If values are manually entered, the word MANUAL will appear on the checklist). If data is entered manually, provide separate documentation of how these values were calculated.</a:t>
          </a:r>
          <a:endParaRPr lang="en-US" sz="1100">
            <a:effectLst/>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Enter the lowest surface elevation within the basin in cell G5.</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latin typeface="+mn-lt"/>
            </a:rPr>
            <a:t>Contour area information for storage should be entered in the Temporary Storage table. Enter data at intervals as needed, up to at least the crest of the dam.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The spreadsheet will calculate storage volumes and metrics once data is entered. Storage is computed using the average end area method.</a:t>
          </a: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209550</xdr:colOff>
      <xdr:row>0</xdr:row>
      <xdr:rowOff>9526</xdr:rowOff>
    </xdr:from>
    <xdr:to>
      <xdr:col>14</xdr:col>
      <xdr:colOff>0</xdr:colOff>
      <xdr:row>29</xdr:row>
      <xdr:rowOff>114300</xdr:rowOff>
    </xdr:to>
    <xdr:sp macro="" textlink="">
      <xdr:nvSpPr>
        <xdr:cNvPr id="2" name="TextBox 1">
          <a:extLst>
            <a:ext uri="{FF2B5EF4-FFF2-40B4-BE49-F238E27FC236}">
              <a16:creationId xmlns:a16="http://schemas.microsoft.com/office/drawing/2014/main" id="{19771C9F-F058-488A-B4E7-9E2D618CAA2D}"/>
            </a:ext>
          </a:extLst>
        </xdr:cNvPr>
        <xdr:cNvSpPr txBox="1"/>
      </xdr:nvSpPr>
      <xdr:spPr>
        <a:xfrm>
          <a:off x="6800850" y="9526"/>
          <a:ext cx="4019550" cy="600074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a:t>
          </a:r>
          <a:r>
            <a:rPr lang="en-US" sz="1100" b="1" u="sng" baseline="0">
              <a:latin typeface="+mn-lt"/>
            </a:rPr>
            <a:t> DE_6 (Results) Tab</a:t>
          </a:r>
          <a:r>
            <a:rPr lang="en-US" sz="1100" b="1" u="sng">
              <a:latin typeface="+mn-lt"/>
            </a:rPr>
            <a:t>:</a:t>
          </a:r>
        </a:p>
        <a:p>
          <a:endParaRPr lang="en-US" sz="1100" b="1" u="sng">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srgbClr val="FF0000"/>
              </a:solidFill>
              <a:effectLst/>
              <a:uLnTx/>
              <a:uFillTx/>
              <a:latin typeface="+mn-lt"/>
              <a:ea typeface="+mn-ea"/>
              <a:cs typeface="+mn-cs"/>
            </a:rPr>
            <a:t>This page only needs to be completed if this practice is used to provide stormwater detention for storms larger than the WQv event and detention routing models have been completed. A separate worksheet should be completed for each separate subsurface storage system.</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After a stage-storage-discharge routing model for the subsurface storage has been created, enter the relevant data from the model output in the tables on this sheet. </a:t>
          </a:r>
          <a:r>
            <a:rPr kumimoji="0" lang="en-US" sz="1100" b="0" i="0" u="none" strike="noStrike" kern="0" cap="none" spc="0" normalizeH="0" baseline="0" noProof="0">
              <a:ln>
                <a:noFill/>
              </a:ln>
              <a:solidFill>
                <a:srgbClr val="7030A0"/>
              </a:solidFill>
              <a:effectLst/>
              <a:uLnTx/>
              <a:uFillTx/>
              <a:latin typeface="+mn-lt"/>
              <a:ea typeface="+mn-ea"/>
              <a:cs typeface="+mn-cs"/>
            </a:rPr>
            <a:t>Entering data here will complete report cells on Tab DE_1 (Detention Design Summary).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Cells C15 to C21: </a:t>
          </a:r>
          <a:r>
            <a:rPr kumimoji="0" lang="en-US" sz="1100" b="0" i="0" u="none" strike="noStrike" kern="0" cap="none" spc="0" normalizeH="0" baseline="0" noProof="0">
              <a:ln>
                <a:noFill/>
              </a:ln>
              <a:solidFill>
                <a:prstClr val="black"/>
              </a:solidFill>
              <a:effectLst/>
              <a:uLnTx/>
              <a:uFillTx/>
              <a:latin typeface="+mn-lt"/>
              <a:ea typeface="+mn-ea"/>
              <a:cs typeface="+mn-cs"/>
            </a:rPr>
            <a:t>Enter expected peak outflow rates from the practice calculated by the routing model for the various storm events.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Cells D15 to D21: </a:t>
          </a:r>
          <a:r>
            <a:rPr kumimoji="0" lang="en-US" sz="1100" b="0" i="0" u="none" strike="noStrike" kern="0" cap="none" spc="0" normalizeH="0" baseline="0" noProof="0">
              <a:ln>
                <a:noFill/>
              </a:ln>
              <a:solidFill>
                <a:prstClr val="black"/>
              </a:solidFill>
              <a:effectLst/>
              <a:uLnTx/>
              <a:uFillTx/>
              <a:latin typeface="+mn-lt"/>
              <a:ea typeface="+mn-ea"/>
              <a:cs typeface="+mn-cs"/>
            </a:rPr>
            <a:t>Enter the expected high water elevations within the practice calculated by the routing model for the various storm events.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Cells E15 to E21: </a:t>
          </a:r>
          <a:r>
            <a:rPr kumimoji="0" lang="en-US" sz="1100" b="0" i="0" u="none" strike="noStrike" kern="0" cap="none" spc="0" normalizeH="0" baseline="0" noProof="0">
              <a:ln>
                <a:noFill/>
              </a:ln>
              <a:solidFill>
                <a:prstClr val="black"/>
              </a:solidFill>
              <a:effectLst/>
              <a:uLnTx/>
              <a:uFillTx/>
              <a:latin typeface="+mn-lt"/>
              <a:ea typeface="+mn-ea"/>
              <a:cs typeface="+mn-cs"/>
            </a:rPr>
            <a:t>Enter the maximum storage calculated by the routing model for the various storm events.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Cells C28 to C34: </a:t>
          </a:r>
          <a:r>
            <a:rPr kumimoji="0" lang="en-US" sz="1100" b="0" i="0" u="none" strike="noStrike" kern="0" cap="none" spc="0" normalizeH="0" baseline="0" noProof="0">
              <a:ln>
                <a:noFill/>
              </a:ln>
              <a:solidFill>
                <a:prstClr val="black"/>
              </a:solidFill>
              <a:effectLst/>
              <a:uLnTx/>
              <a:uFillTx/>
              <a:latin typeface="+mn-lt"/>
              <a:ea typeface="+mn-ea"/>
              <a:cs typeface="+mn-cs"/>
            </a:rPr>
            <a:t>Enter the delay in time between the peak inflow rate to the practice and the peak outflow rate from the practice, based on output data from the routing model.</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The spreadsheet will calculate various metrics based on the data entered. These will quantify the peak volume of water stored, note the delay in peak flows and demonstrate the reduction in flow rates due to the practice.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1</xdr:row>
      <xdr:rowOff>9526</xdr:rowOff>
    </xdr:from>
    <xdr:to>
      <xdr:col>16</xdr:col>
      <xdr:colOff>133350</xdr:colOff>
      <xdr:row>15</xdr:row>
      <xdr:rowOff>85725</xdr:rowOff>
    </xdr:to>
    <xdr:sp macro="" textlink="">
      <xdr:nvSpPr>
        <xdr:cNvPr id="2" name="TextBox 1">
          <a:extLst>
            <a:ext uri="{FF2B5EF4-FFF2-40B4-BE49-F238E27FC236}">
              <a16:creationId xmlns:a16="http://schemas.microsoft.com/office/drawing/2014/main" id="{2B258CA5-228D-437B-94C6-D822CC03EB2F}"/>
            </a:ext>
          </a:extLst>
        </xdr:cNvPr>
        <xdr:cNvSpPr txBox="1"/>
      </xdr:nvSpPr>
      <xdr:spPr>
        <a:xfrm>
          <a:off x="9858375" y="180976"/>
          <a:ext cx="3676650" cy="203834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CL_2 (Project Review) Tab:</a:t>
          </a:r>
        </a:p>
        <a:p>
          <a:endParaRPr lang="en-US" sz="1100" b="1" u="sng">
            <a:latin typeface="+mn-lt"/>
          </a:endParaRPr>
        </a:p>
        <a:p>
          <a:pPr marL="171450" indent="-171450">
            <a:buFont typeface="Arial" panose="020B0604020202020204" pitchFamily="34" charset="0"/>
            <a:buChar char="•"/>
          </a:pPr>
          <a:r>
            <a:rPr lang="en-US" sz="1100" b="0" i="0">
              <a:solidFill>
                <a:sysClr val="windowText" lastClr="000000"/>
              </a:solidFill>
              <a:latin typeface="+mn-lt"/>
            </a:rPr>
            <a:t>Complete this worksheet by</a:t>
          </a:r>
          <a:r>
            <a:rPr lang="en-US" sz="1100" b="0" i="0" baseline="0">
              <a:solidFill>
                <a:sysClr val="windowText" lastClr="000000"/>
              </a:solidFill>
              <a:latin typeface="+mn-lt"/>
            </a:rPr>
            <a:t> answering all questions.</a:t>
          </a:r>
        </a:p>
        <a:p>
          <a:pPr marL="171450" indent="-171450">
            <a:buFont typeface="Arial" panose="020B0604020202020204" pitchFamily="34" charset="0"/>
            <a:buChar char="•"/>
          </a:pPr>
          <a:endParaRPr lang="en-US" sz="1100" b="0" i="0" baseline="0">
            <a:solidFill>
              <a:sysClr val="windowText" lastClr="000000"/>
            </a:solidFill>
            <a:latin typeface="+mn-lt"/>
          </a:endParaRPr>
        </a:p>
        <a:p>
          <a:pPr marL="171450" indent="-171450">
            <a:buFont typeface="Arial" panose="020B0604020202020204" pitchFamily="34" charset="0"/>
            <a:buChar char="•"/>
          </a:pPr>
          <a:r>
            <a:rPr lang="en-US" sz="1100" b="0" i="0" baseline="0">
              <a:solidFill>
                <a:srgbClr val="FF0000"/>
              </a:solidFill>
              <a:latin typeface="+mn-lt"/>
            </a:rPr>
            <a:t>Answers to questions 3, 4a, 4b, 4c and 5 will fill in if the DWS_Report Form has been completed. </a:t>
          </a:r>
        </a:p>
        <a:p>
          <a:pPr marL="171450" indent="-171450">
            <a:buFont typeface="Arial" panose="020B0604020202020204" pitchFamily="34" charset="0"/>
            <a:buChar char="•"/>
          </a:pPr>
          <a:endParaRPr lang="en-US" sz="1100" b="0" i="0" baseline="0">
            <a:solidFill>
              <a:sysClr val="windowText" lastClr="000000"/>
            </a:solidFill>
            <a:latin typeface="+mn-lt"/>
          </a:endParaRPr>
        </a:p>
        <a:p>
          <a:pPr marL="171450" indent="-171450">
            <a:buFont typeface="Arial" panose="020B0604020202020204" pitchFamily="34" charset="0"/>
            <a:buChar char="•"/>
          </a:pPr>
          <a:r>
            <a:rPr lang="en-US" sz="1100" b="0" i="0" baseline="0">
              <a:solidFill>
                <a:sysClr val="windowText" lastClr="000000"/>
              </a:solidFill>
              <a:latin typeface="+mn-lt"/>
            </a:rPr>
            <a:t>Proceed to page 2 of this worksheet.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1</xdr:row>
      <xdr:rowOff>9526</xdr:rowOff>
    </xdr:from>
    <xdr:to>
      <xdr:col>16</xdr:col>
      <xdr:colOff>133350</xdr:colOff>
      <xdr:row>16</xdr:row>
      <xdr:rowOff>19049</xdr:rowOff>
    </xdr:to>
    <xdr:sp macro="" textlink="">
      <xdr:nvSpPr>
        <xdr:cNvPr id="2" name="TextBox 1">
          <a:extLst>
            <a:ext uri="{FF2B5EF4-FFF2-40B4-BE49-F238E27FC236}">
              <a16:creationId xmlns:a16="http://schemas.microsoft.com/office/drawing/2014/main" id="{FCC4AE96-20CC-4A6A-B341-4E492D7001A3}"/>
            </a:ext>
          </a:extLst>
        </xdr:cNvPr>
        <xdr:cNvSpPr txBox="1"/>
      </xdr:nvSpPr>
      <xdr:spPr>
        <a:xfrm>
          <a:off x="9858375" y="180976"/>
          <a:ext cx="3676650" cy="174307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CL_2 (Project Review) Tab:</a:t>
          </a:r>
        </a:p>
        <a:p>
          <a:endParaRPr lang="en-US" sz="1100" b="1" u="sng">
            <a:latin typeface="+mn-lt"/>
          </a:endParaRPr>
        </a:p>
        <a:p>
          <a:pPr marL="171450" indent="-171450">
            <a:buFont typeface="Arial" panose="020B0604020202020204" pitchFamily="34" charset="0"/>
            <a:buChar char="•"/>
          </a:pPr>
          <a:r>
            <a:rPr lang="en-US" sz="1100" b="0" i="0">
              <a:solidFill>
                <a:schemeClr val="dk1"/>
              </a:solidFill>
              <a:effectLst/>
              <a:latin typeface="+mn-lt"/>
              <a:ea typeface="+mn-ea"/>
              <a:cs typeface="+mn-cs"/>
            </a:rPr>
            <a:t>Complete this worksheet by</a:t>
          </a:r>
          <a:r>
            <a:rPr lang="en-US" sz="1100" b="0" i="0" baseline="0">
              <a:solidFill>
                <a:schemeClr val="dk1"/>
              </a:solidFill>
              <a:effectLst/>
              <a:latin typeface="+mn-lt"/>
              <a:ea typeface="+mn-ea"/>
              <a:cs typeface="+mn-cs"/>
            </a:rPr>
            <a:t> answering all questions.</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Answers to questions 11 and 14 will fill in if the DWS_Report Form has been completed. </a:t>
          </a:r>
          <a:endParaRPr lang="en-US" sz="1100">
            <a:effectLst/>
            <a:latin typeface="+mn-lt"/>
          </a:endParaRP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endParaRPr lang="en-US" sz="1100" b="1" baseline="0">
            <a:solidFill>
              <a:srgbClr val="FF0000"/>
            </a:solidFill>
            <a:latin typeface="+mn-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0</xdr:row>
      <xdr:rowOff>161923</xdr:rowOff>
    </xdr:from>
    <xdr:to>
      <xdr:col>15</xdr:col>
      <xdr:colOff>19050</xdr:colOff>
      <xdr:row>76</xdr:row>
      <xdr:rowOff>152399</xdr:rowOff>
    </xdr:to>
    <xdr:sp macro="" textlink="">
      <xdr:nvSpPr>
        <xdr:cNvPr id="2" name="TextBox 1">
          <a:extLst>
            <a:ext uri="{FF2B5EF4-FFF2-40B4-BE49-F238E27FC236}">
              <a16:creationId xmlns:a16="http://schemas.microsoft.com/office/drawing/2014/main" id="{CF2BB11B-5D51-4E3A-B6F1-B3EC2F7B93BE}"/>
            </a:ext>
          </a:extLst>
        </xdr:cNvPr>
        <xdr:cNvSpPr txBox="1"/>
      </xdr:nvSpPr>
      <xdr:spPr>
        <a:xfrm>
          <a:off x="7848600" y="161923"/>
          <a:ext cx="3676650" cy="1224915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DWS</a:t>
          </a:r>
          <a:r>
            <a:rPr lang="en-US" sz="1100" b="1" u="sng" baseline="0">
              <a:latin typeface="+mn-lt"/>
            </a:rPr>
            <a:t> Report Form</a:t>
          </a:r>
          <a:r>
            <a:rPr lang="en-US" sz="1100" b="1" u="sng">
              <a:latin typeface="+mn-lt"/>
            </a:rPr>
            <a:t>:</a:t>
          </a:r>
        </a:p>
        <a:p>
          <a:endParaRPr lang="en-US" sz="1100" b="1" u="sng">
            <a:latin typeface="+mn-lt"/>
          </a:endParaRPr>
        </a:p>
        <a:p>
          <a:pPr marL="171450" indent="-171450">
            <a:buFont typeface="Arial" panose="020B0604020202020204" pitchFamily="34" charset="0"/>
            <a:buChar char="•"/>
          </a:pPr>
          <a:r>
            <a:rPr lang="en-US" sz="1100" b="1" i="0">
              <a:solidFill>
                <a:schemeClr val="dk1"/>
              </a:solidFill>
              <a:effectLst/>
              <a:latin typeface="+mn-lt"/>
              <a:ea typeface="+mn-ea"/>
              <a:cs typeface="+mn-cs"/>
            </a:rPr>
            <a:t>Step 1</a:t>
          </a:r>
          <a:r>
            <a:rPr lang="en-US" sz="1100" b="0" i="0">
              <a:solidFill>
                <a:schemeClr val="dk1"/>
              </a:solidFill>
              <a:effectLst/>
              <a:latin typeface="+mn-lt"/>
              <a:ea typeface="+mn-ea"/>
              <a:cs typeface="+mn-cs"/>
            </a:rPr>
            <a:t>, enter</a:t>
          </a:r>
          <a:r>
            <a:rPr lang="en-US" sz="1100" b="0" i="0" baseline="0">
              <a:solidFill>
                <a:schemeClr val="dk1"/>
              </a:solidFill>
              <a:effectLst/>
              <a:latin typeface="+mn-lt"/>
              <a:ea typeface="+mn-ea"/>
              <a:cs typeface="+mn-cs"/>
            </a:rPr>
            <a:t> watershed tributary area to be treated by bioretention cell, impervious cover % within that area and the WQv rainfall amount. The spreadsheet will calculate the WQv runoff coefficient (Rv) and the water quality volume (WQv).</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r>
            <a:rPr lang="en-US" sz="1100" b="1" i="0" baseline="0">
              <a:solidFill>
                <a:schemeClr val="dk1"/>
              </a:solidFill>
              <a:effectLst/>
              <a:latin typeface="+mn-lt"/>
              <a:ea typeface="+mn-ea"/>
              <a:cs typeface="+mn-cs"/>
            </a:rPr>
            <a:t>Step 2</a:t>
          </a:r>
          <a:r>
            <a:rPr lang="en-US" sz="1100" b="0" i="0" baseline="0">
              <a:solidFill>
                <a:schemeClr val="dk1"/>
              </a:solidFill>
              <a:effectLst/>
              <a:latin typeface="+mn-lt"/>
              <a:ea typeface="+mn-ea"/>
              <a:cs typeface="+mn-cs"/>
            </a:rPr>
            <a:t> can be omitted for "simple" bioretention cell practices which are not attempting to detain runoff from larger storm events. However, the designer should consider how flows from larger events can pass through the system without causing surface erosion or excessive ponding.</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i="0" baseline="0">
              <a:solidFill>
                <a:sysClr val="windowText" lastClr="000000"/>
              </a:solidFill>
              <a:effectLst/>
              <a:latin typeface="+mn-lt"/>
              <a:ea typeface="+mn-ea"/>
              <a:cs typeface="+mn-cs"/>
            </a:rPr>
            <a:t>Step 3</a:t>
          </a:r>
          <a:r>
            <a:rPr lang="en-US" sz="1100" b="0" i="0" baseline="0">
              <a:solidFill>
                <a:sysClr val="windowText" lastClr="000000"/>
              </a:solidFill>
              <a:effectLst/>
              <a:latin typeface="+mn-lt"/>
              <a:ea typeface="+mn-ea"/>
              <a:cs typeface="+mn-cs"/>
            </a:rPr>
            <a:t> is used to design diversion structures for "off-line" systems. If the system is "off-line", the Step 3_Diversion worksheet can be used to design a diversion structure constructed on the upstream storm sewer system. If another type of diversion is used, provide separate calculations, as applicable.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i="0" baseline="0">
              <a:solidFill>
                <a:schemeClr val="dk1"/>
              </a:solidFill>
              <a:effectLst/>
              <a:latin typeface="+mn-lt"/>
              <a:ea typeface="+mn-ea"/>
              <a:cs typeface="+mn-cs"/>
            </a:rPr>
            <a:t>Step 4</a:t>
          </a:r>
          <a:r>
            <a:rPr lang="en-US" sz="1100" b="0" i="0" baseline="0">
              <a:solidFill>
                <a:schemeClr val="dk1"/>
              </a:solidFill>
              <a:effectLst/>
              <a:latin typeface="+mn-lt"/>
              <a:ea typeface="+mn-ea"/>
              <a:cs typeface="+mn-cs"/>
            </a:rPr>
            <a:t> involves selection and proper sizing of pre-treatment practices. Note the type of practice(s) used. Provide separate </a:t>
          </a:r>
          <a:r>
            <a:rPr lang="en-US" sz="1100" b="0" i="0" baseline="0">
              <a:solidFill>
                <a:sysClr val="windowText" lastClr="000000"/>
              </a:solidFill>
              <a:effectLst/>
              <a:latin typeface="+mn-lt"/>
              <a:ea typeface="+mn-ea"/>
              <a:cs typeface="+mn-cs"/>
            </a:rPr>
            <a:t>calculations as applicable. (See page 22 of ISWMM Bioretention Section for more information.)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ysClr val="windowText" lastClr="000000"/>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i="0" baseline="0">
              <a:solidFill>
                <a:sysClr val="windowText" lastClr="000000"/>
              </a:solidFill>
              <a:effectLst/>
              <a:latin typeface="+mn-lt"/>
              <a:ea typeface="+mn-ea"/>
              <a:cs typeface="+mn-cs"/>
            </a:rPr>
            <a:t>Step 5</a:t>
          </a:r>
          <a:r>
            <a:rPr lang="en-US" sz="1100" b="0" i="0" baseline="0">
              <a:solidFill>
                <a:sysClr val="windowText" lastClr="000000"/>
              </a:solidFill>
              <a:effectLst/>
              <a:latin typeface="+mn-lt"/>
              <a:ea typeface="+mn-ea"/>
              <a:cs typeface="+mn-cs"/>
            </a:rPr>
            <a:t> checks for erosion protection needed at entry points into the bioretention cell. Provide any calculations that may be applicable.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(See page 22 of ISWMM Bioretention Section for more information.)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Enter the proposed ponding depth in </a:t>
          </a:r>
          <a:r>
            <a:rPr lang="en-US" sz="1100" b="1" i="0" baseline="0">
              <a:solidFill>
                <a:schemeClr val="dk1"/>
              </a:solidFill>
              <a:effectLst/>
              <a:latin typeface="+mn-lt"/>
              <a:ea typeface="+mn-ea"/>
              <a:cs typeface="+mn-cs"/>
            </a:rPr>
            <a:t>Step 6</a:t>
          </a:r>
          <a:r>
            <a:rPr lang="en-US" sz="1100" b="0" i="0" baseline="0">
              <a:solidFill>
                <a:schemeClr val="dk1"/>
              </a:solidFill>
              <a:effectLst/>
              <a:latin typeface="+mn-lt"/>
              <a:ea typeface="+mn-ea"/>
              <a:cs typeface="+mn-cs"/>
            </a:rPr>
            <a:t>. This should be the elevation difference from the top of the level bioretention surface to the lowest elevation where runoff can flow out of the bioretention cell through an inlet, pipe or surface overflow.</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Enter the depths of various subsurface elements in </a:t>
          </a:r>
          <a:r>
            <a:rPr lang="en-US" sz="1100" b="1" i="0" baseline="0">
              <a:solidFill>
                <a:schemeClr val="dk1"/>
              </a:solidFill>
              <a:effectLst/>
              <a:latin typeface="+mn-lt"/>
              <a:ea typeface="+mn-ea"/>
              <a:cs typeface="+mn-cs"/>
            </a:rPr>
            <a:t>Step 7</a:t>
          </a:r>
          <a:r>
            <a:rPr lang="en-US" sz="1100" b="0" i="0" baseline="0">
              <a:solidFill>
                <a:schemeClr val="dk1"/>
              </a:solidFill>
              <a:effectLst/>
              <a:latin typeface="+mn-lt"/>
              <a:ea typeface="+mn-ea"/>
              <a:cs typeface="+mn-cs"/>
            </a:rPr>
            <a:t>.  The spreadsheet will calculate the total depth of the subsurface elements.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Typical values for</a:t>
          </a:r>
          <a:r>
            <a:rPr kumimoji="0" lang="en-US" sz="1100" b="0" i="0" u="none" strike="noStrike" kern="0" cap="none" spc="0" normalizeH="0" baseline="0" noProof="0">
              <a:ln>
                <a:noFill/>
              </a:ln>
              <a:solidFill>
                <a:prstClr val="black"/>
              </a:solidFill>
              <a:effectLst/>
              <a:uLnTx/>
              <a:uFillTx/>
              <a:latin typeface="+mn-lt"/>
              <a:ea typeface="+mn-ea"/>
              <a:cs typeface="+mn-cs"/>
            </a:rPr>
            <a:t> drain time and coefficient of permeability of the subsurface elements are entered in </a:t>
          </a:r>
          <a:r>
            <a:rPr kumimoji="0" lang="en-US" sz="1100" b="1" i="0" u="none" strike="noStrike" kern="0" cap="none" spc="0" normalizeH="0" baseline="0" noProof="0">
              <a:ln>
                <a:noFill/>
              </a:ln>
              <a:solidFill>
                <a:prstClr val="black"/>
              </a:solidFill>
              <a:effectLst/>
              <a:uLnTx/>
              <a:uFillTx/>
              <a:latin typeface="+mn-lt"/>
              <a:ea typeface="+mn-ea"/>
              <a:cs typeface="+mn-cs"/>
            </a:rPr>
            <a:t>Step 8.</a:t>
          </a:r>
          <a:r>
            <a:rPr lang="en-US" sz="1100" b="0" i="0" baseline="0">
              <a:solidFill>
                <a:schemeClr val="dk1"/>
              </a:solidFill>
              <a:effectLst/>
              <a:latin typeface="+mn-lt"/>
              <a:ea typeface="+mn-ea"/>
              <a:cs typeface="+mn-cs"/>
            </a:rPr>
            <a:t> The spreadsheet will calculate the required ponding area (Af) from the values entered in </a:t>
          </a:r>
          <a:r>
            <a:rPr lang="en-US" sz="1100" b="1" i="0" baseline="0">
              <a:solidFill>
                <a:schemeClr val="dk1"/>
              </a:solidFill>
              <a:effectLst/>
              <a:latin typeface="+mn-lt"/>
              <a:ea typeface="+mn-ea"/>
              <a:cs typeface="+mn-cs"/>
            </a:rPr>
            <a:t>Step 7</a:t>
          </a:r>
          <a:r>
            <a:rPr lang="en-US" sz="1100" b="0" i="0" baseline="0">
              <a:solidFill>
                <a:schemeClr val="dk1"/>
              </a:solidFill>
              <a:effectLst/>
              <a:latin typeface="+mn-lt"/>
              <a:ea typeface="+mn-ea"/>
              <a:cs typeface="+mn-cs"/>
            </a:rPr>
            <a:t>. </a:t>
          </a:r>
          <a:r>
            <a:rPr lang="en-US" sz="1100" b="0" i="0" baseline="0">
              <a:solidFill>
                <a:srgbClr val="FF0000"/>
              </a:solidFill>
              <a:effectLst/>
              <a:latin typeface="+mn-lt"/>
              <a:ea typeface="+mn-ea"/>
              <a:cs typeface="+mn-cs"/>
            </a:rPr>
            <a:t>The required ponding area (Af) is the minimum area for the level </a:t>
          </a:r>
          <a:r>
            <a:rPr lang="en-US" sz="1100" b="0" i="0" u="none" baseline="0">
              <a:solidFill>
                <a:srgbClr val="FF0000"/>
              </a:solidFill>
              <a:effectLst/>
              <a:latin typeface="+mn-lt"/>
              <a:ea typeface="+mn-ea"/>
              <a:cs typeface="+mn-cs"/>
            </a:rPr>
            <a:t>infiltration</a:t>
          </a:r>
          <a:r>
            <a:rPr lang="en-US" sz="1100" b="0" i="0" baseline="0">
              <a:solidFill>
                <a:srgbClr val="FF0000"/>
              </a:solidFill>
              <a:effectLst/>
              <a:latin typeface="+mn-lt"/>
              <a:ea typeface="+mn-ea"/>
              <a:cs typeface="+mn-cs"/>
            </a:rPr>
            <a:t> surface area of the bioretention cell.</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Preliminary dimensions may be entered in </a:t>
          </a:r>
          <a:r>
            <a:rPr lang="en-US" sz="1100" b="1" i="0" baseline="0">
              <a:solidFill>
                <a:schemeClr val="dk1"/>
              </a:solidFill>
              <a:effectLst/>
              <a:latin typeface="+mn-lt"/>
              <a:ea typeface="+mn-ea"/>
              <a:cs typeface="+mn-cs"/>
            </a:rPr>
            <a:t>Step 9</a:t>
          </a:r>
          <a:r>
            <a:rPr lang="en-US" sz="1100" b="0" i="0" baseline="0">
              <a:solidFill>
                <a:schemeClr val="dk1"/>
              </a:solidFill>
              <a:effectLst/>
              <a:latin typeface="+mn-lt"/>
              <a:ea typeface="+mn-ea"/>
              <a:cs typeface="+mn-cs"/>
            </a:rPr>
            <a:t> to estimate the required footprint shape of the bioretention cell. The cell does not have to be rectangular, but this calculation just provides an initial estimate of what dimensions may be required. Enter the actual proposed ponding surface area in </a:t>
          </a:r>
          <a:r>
            <a:rPr lang="en-US" sz="1100" b="1" i="0" baseline="0">
              <a:solidFill>
                <a:schemeClr val="dk1"/>
              </a:solidFill>
              <a:effectLst/>
              <a:latin typeface="+mn-lt"/>
              <a:ea typeface="+mn-ea"/>
              <a:cs typeface="+mn-cs"/>
            </a:rPr>
            <a:t>cell C50</a:t>
          </a:r>
          <a:r>
            <a:rPr lang="en-US" sz="1100" b="0" i="0" baseline="0">
              <a:solidFill>
                <a:schemeClr val="dk1"/>
              </a:solidFill>
              <a:effectLst/>
              <a:latin typeface="+mn-lt"/>
              <a:ea typeface="+mn-ea"/>
              <a:cs typeface="+mn-cs"/>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Enter the subdrain size in </a:t>
          </a:r>
          <a:r>
            <a:rPr lang="en-US" sz="1100" b="1" i="0" baseline="0">
              <a:solidFill>
                <a:schemeClr val="dk1"/>
              </a:solidFill>
              <a:effectLst/>
              <a:latin typeface="+mn-lt"/>
              <a:ea typeface="+mn-ea"/>
              <a:cs typeface="+mn-cs"/>
            </a:rPr>
            <a:t>Step 10</a:t>
          </a:r>
          <a:r>
            <a:rPr lang="en-US" sz="1100" b="0" i="0" baseline="0">
              <a:solidFill>
                <a:schemeClr val="dk1"/>
              </a:solidFill>
              <a:effectLst/>
              <a:latin typeface="+mn-lt"/>
              <a:ea typeface="+mn-ea"/>
              <a:cs typeface="+mn-cs"/>
            </a:rPr>
            <a:t>. The spreadsheet will calculate the expected rate of percolation through subsurface elements and length of subdrain required to meet ISWMM guidance. </a:t>
          </a:r>
          <a:r>
            <a:rPr lang="en-US" sz="1100" b="0" i="0" baseline="0">
              <a:solidFill>
                <a:srgbClr val="FF0000"/>
              </a:solidFill>
              <a:effectLst/>
              <a:latin typeface="+mn-lt"/>
              <a:ea typeface="+mn-ea"/>
              <a:cs typeface="+mn-cs"/>
            </a:rPr>
            <a:t>The subdrain should be sized to convey this flow, however a restriction may be needed at the subdrain outfall to prevent the system from draining too quickly. </a:t>
          </a:r>
          <a:r>
            <a:rPr lang="en-US" sz="1100" b="0" i="0" baseline="0">
              <a:solidFill>
                <a:sysClr val="windowText" lastClr="000000"/>
              </a:solidFill>
              <a:effectLst/>
              <a:latin typeface="+mn-lt"/>
              <a:ea typeface="+mn-ea"/>
              <a:cs typeface="+mn-cs"/>
            </a:rPr>
            <a:t>Enter the design subdrain release rate in </a:t>
          </a:r>
          <a:r>
            <a:rPr lang="en-US" sz="1100" b="1" i="0" baseline="0">
              <a:solidFill>
                <a:sysClr val="windowText" lastClr="000000"/>
              </a:solidFill>
              <a:effectLst/>
              <a:latin typeface="+mn-lt"/>
              <a:ea typeface="+mn-ea"/>
              <a:cs typeface="+mn-cs"/>
            </a:rPr>
            <a:t>Cell C54</a:t>
          </a:r>
          <a:r>
            <a:rPr lang="en-US" sz="1100" b="0" i="0" baseline="0">
              <a:solidFill>
                <a:srgbClr val="FF0000"/>
              </a:solidFill>
              <a:effectLst/>
              <a:latin typeface="+mn-lt"/>
              <a:ea typeface="+mn-ea"/>
              <a:cs typeface="+mn-cs"/>
            </a:rPr>
            <a:t>. </a:t>
          </a:r>
          <a:r>
            <a:rPr lang="en-US" sz="1100" b="0" i="0" baseline="0">
              <a:solidFill>
                <a:schemeClr val="dk1"/>
              </a:solidFill>
              <a:effectLst/>
              <a:latin typeface="+mn-lt"/>
              <a:ea typeface="+mn-ea"/>
              <a:cs typeface="+mn-cs"/>
            </a:rPr>
            <a:t>Enter the length of subdrain under the bioretention cell footprint that is proposed in </a:t>
          </a:r>
          <a:r>
            <a:rPr lang="en-US" sz="1100" b="1" i="0" baseline="0">
              <a:solidFill>
                <a:schemeClr val="dk1"/>
              </a:solidFill>
              <a:effectLst/>
              <a:latin typeface="+mn-lt"/>
              <a:ea typeface="+mn-ea"/>
              <a:cs typeface="+mn-cs"/>
            </a:rPr>
            <a:t>cell C57</a:t>
          </a:r>
          <a:r>
            <a:rPr lang="en-US" sz="1100" b="0" i="0" baseline="0">
              <a:solidFill>
                <a:schemeClr val="dk1"/>
              </a:solidFill>
              <a:effectLst/>
              <a:latin typeface="+mn-lt"/>
              <a:ea typeface="+mn-ea"/>
              <a:cs typeface="+mn-cs"/>
            </a:rPr>
            <a:t> The length of subdrain should be provided so that at least 10% of the ponding area (Af) falls within a two foot strip centered on the subdrain.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Provide relevant calculations for </a:t>
          </a:r>
          <a:r>
            <a:rPr lang="en-US" sz="1100" b="1" i="0" baseline="0">
              <a:solidFill>
                <a:schemeClr val="dk1"/>
              </a:solidFill>
              <a:effectLst/>
              <a:latin typeface="+mn-lt"/>
              <a:ea typeface="+mn-ea"/>
              <a:cs typeface="+mn-cs"/>
            </a:rPr>
            <a:t>Step 11 or 12 </a:t>
          </a:r>
          <a:r>
            <a:rPr lang="en-US" sz="1100" b="0" i="0" baseline="0">
              <a:solidFill>
                <a:schemeClr val="dk1"/>
              </a:solidFill>
              <a:effectLst/>
              <a:latin typeface="+mn-lt"/>
              <a:ea typeface="+mn-ea"/>
              <a:cs typeface="+mn-cs"/>
            </a:rPr>
            <a:t>as applicable.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latin typeface="+mn-lt"/>
          </a:endParaRP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9525</xdr:colOff>
      <xdr:row>0</xdr:row>
      <xdr:rowOff>152401</xdr:rowOff>
    </xdr:from>
    <xdr:to>
      <xdr:col>17</xdr:col>
      <xdr:colOff>28575</xdr:colOff>
      <xdr:row>56</xdr:row>
      <xdr:rowOff>76200</xdr:rowOff>
    </xdr:to>
    <xdr:sp macro="" textlink="">
      <xdr:nvSpPr>
        <xdr:cNvPr id="2" name="TextBox 1">
          <a:extLst>
            <a:ext uri="{FF2B5EF4-FFF2-40B4-BE49-F238E27FC236}">
              <a16:creationId xmlns:a16="http://schemas.microsoft.com/office/drawing/2014/main" id="{AC73A34A-4915-49B3-AFE7-B0E597FCC6DF}"/>
            </a:ext>
          </a:extLst>
        </xdr:cNvPr>
        <xdr:cNvSpPr txBox="1"/>
      </xdr:nvSpPr>
      <xdr:spPr>
        <a:xfrm>
          <a:off x="9105900" y="152401"/>
          <a:ext cx="3676650" cy="1012507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Step</a:t>
          </a:r>
          <a:r>
            <a:rPr lang="en-US" sz="1100" b="1" u="sng" baseline="0">
              <a:latin typeface="+mn-lt"/>
            </a:rPr>
            <a:t> 3 - Diversion Structure Worksheet</a:t>
          </a:r>
          <a:r>
            <a:rPr lang="en-US" sz="1100" b="1" u="sng">
              <a:latin typeface="+mn-lt"/>
            </a:rPr>
            <a:t>:</a:t>
          </a:r>
        </a:p>
        <a:p>
          <a:endParaRPr lang="en-US" sz="1100" b="1" u="sng">
            <a:latin typeface="+mn-lt"/>
          </a:endParaRPr>
        </a:p>
        <a:p>
          <a:pPr marL="171450" indent="-171450">
            <a:buFont typeface="Arial" panose="020B0604020202020204" pitchFamily="34" charset="0"/>
            <a:buChar char="•"/>
          </a:pPr>
          <a:r>
            <a:rPr lang="en-US" sz="1100" b="0" i="0">
              <a:solidFill>
                <a:srgbClr val="FF0000"/>
              </a:solidFill>
              <a:effectLst/>
              <a:latin typeface="+mn-lt"/>
              <a:ea typeface="+mn-ea"/>
              <a:cs typeface="+mn-cs"/>
            </a:rPr>
            <a:t>This tab</a:t>
          </a:r>
          <a:r>
            <a:rPr lang="en-US" sz="1100" b="0" i="0" baseline="0">
              <a:solidFill>
                <a:srgbClr val="FF0000"/>
              </a:solidFill>
              <a:effectLst/>
              <a:latin typeface="+mn-lt"/>
              <a:ea typeface="+mn-ea"/>
              <a:cs typeface="+mn-cs"/>
            </a:rPr>
            <a:t> allows the designer to follow the steps specified in ISWMM Chapter 6, Section 1 (page 11) to design a diversion structure within a storm sewer network. If another type of diversion structure is used, this tab may be OMITTED and separate calculations provided for review, as applicable.</a:t>
          </a:r>
          <a:endParaRPr lang="en-US" sz="1100" b="0" i="0">
            <a:solidFill>
              <a:srgbClr val="FF0000"/>
            </a:solidFill>
            <a:effectLst/>
            <a:latin typeface="+mn-lt"/>
            <a:ea typeface="+mn-ea"/>
            <a:cs typeface="+mn-cs"/>
          </a:endParaRPr>
        </a:p>
        <a:p>
          <a:pPr marL="171450" indent="-171450">
            <a:buFont typeface="Arial" panose="020B0604020202020204" pitchFamily="34" charset="0"/>
            <a:buChar char="•"/>
          </a:pPr>
          <a:endParaRPr lang="en-US" sz="1100" b="0" i="0">
            <a:solidFill>
              <a:schemeClr val="dk1"/>
            </a:solidFill>
            <a:effectLst/>
            <a:latin typeface="+mn-lt"/>
            <a:ea typeface="+mn-ea"/>
            <a:cs typeface="+mn-cs"/>
          </a:endParaRPr>
        </a:p>
        <a:p>
          <a:pPr marL="171450" indent="-171450">
            <a:buFont typeface="Arial" panose="020B0604020202020204" pitchFamily="34" charset="0"/>
            <a:buChar char="•"/>
          </a:pPr>
          <a:r>
            <a:rPr lang="en-US" sz="1100" b="0" i="0">
              <a:solidFill>
                <a:schemeClr val="dk1"/>
              </a:solidFill>
              <a:effectLst/>
              <a:latin typeface="+mn-lt"/>
              <a:ea typeface="+mn-ea"/>
              <a:cs typeface="+mn-cs"/>
            </a:rPr>
            <a:t>Enter</a:t>
          </a:r>
          <a:r>
            <a:rPr lang="en-US" sz="1100" b="0" i="0" baseline="0">
              <a:solidFill>
                <a:schemeClr val="dk1"/>
              </a:solidFill>
              <a:effectLst/>
              <a:latin typeface="+mn-lt"/>
              <a:ea typeface="+mn-ea"/>
              <a:cs typeface="+mn-cs"/>
            </a:rPr>
            <a:t> the WQv rainfall amount, the calculated WQv peak flow rate and the WQv modeled volume in the spaces on</a:t>
          </a:r>
          <a:r>
            <a:rPr lang="en-US" sz="1100" b="1" i="0" baseline="0">
              <a:solidFill>
                <a:schemeClr val="dk1"/>
              </a:solidFill>
              <a:effectLst/>
              <a:latin typeface="+mn-lt"/>
              <a:ea typeface="+mn-ea"/>
              <a:cs typeface="+mn-cs"/>
            </a:rPr>
            <a:t> line 16</a:t>
          </a:r>
          <a:r>
            <a:rPr lang="en-US" sz="1100" b="0" i="0" baseline="0">
              <a:solidFill>
                <a:schemeClr val="dk1"/>
              </a:solidFill>
              <a:effectLst/>
              <a:latin typeface="+mn-lt"/>
              <a:ea typeface="+mn-ea"/>
              <a:cs typeface="+mn-cs"/>
            </a:rPr>
            <a:t>. The peak flow rate and volume should be taken from the NRCS TR-55 model output for that rainfall event.  </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r>
            <a:rPr lang="en-US" sz="1100" b="0" i="0" baseline="0">
              <a:solidFill>
                <a:schemeClr val="dk1"/>
              </a:solidFill>
              <a:effectLst/>
              <a:latin typeface="+mn-lt"/>
              <a:ea typeface="+mn-ea"/>
              <a:cs typeface="+mn-cs"/>
            </a:rPr>
            <a:t>If worksheet DE_2 - Det Watershed Info is completed, the adjusted CN to be used in the model for the WQv event will be calculated and entered on this sheet. Remember that the adjusted CN should only be used for modeling the WQv event.</a:t>
          </a:r>
        </a:p>
        <a:p>
          <a:pPr marL="171450" indent="-171450">
            <a:buFont typeface="Arial" panose="020B0604020202020204" pitchFamily="34" charset="0"/>
            <a:buChar char="•"/>
          </a:pPr>
          <a:endParaRPr lang="en-US" sz="1100" b="1" i="0" baseline="0">
            <a:solidFill>
              <a:schemeClr val="dk1"/>
            </a:solidFill>
            <a:effectLst/>
            <a:latin typeface="+mn-lt"/>
            <a:ea typeface="+mn-ea"/>
            <a:cs typeface="+mn-cs"/>
          </a:endParaRPr>
        </a:p>
        <a:p>
          <a:pPr marL="171450" indent="-171450">
            <a:buFont typeface="Arial" panose="020B0604020202020204" pitchFamily="34" charset="0"/>
            <a:buChar char="•"/>
          </a:pPr>
          <a:r>
            <a:rPr lang="en-US" sz="1100" b="1" i="0">
              <a:solidFill>
                <a:schemeClr val="dk1"/>
              </a:solidFill>
              <a:effectLst/>
              <a:latin typeface="+mn-lt"/>
              <a:ea typeface="+mn-ea"/>
              <a:cs typeface="+mn-cs"/>
            </a:rPr>
            <a:t>Step 3a</a:t>
          </a:r>
          <a:r>
            <a:rPr lang="en-US" sz="1100" b="0" i="0">
              <a:solidFill>
                <a:schemeClr val="dk1"/>
              </a:solidFill>
              <a:effectLst/>
              <a:latin typeface="+mn-lt"/>
              <a:ea typeface="+mn-ea"/>
              <a:cs typeface="+mn-cs"/>
            </a:rPr>
            <a:t>, enter the size of the</a:t>
          </a:r>
          <a:r>
            <a:rPr lang="en-US" sz="1100" b="0" i="0" baseline="0">
              <a:solidFill>
                <a:schemeClr val="dk1"/>
              </a:solidFill>
              <a:effectLst/>
              <a:latin typeface="+mn-lt"/>
              <a:ea typeface="+mn-ea"/>
              <a:cs typeface="+mn-cs"/>
            </a:rPr>
            <a:t> pipe or orifice used to control the rate of flow into the bioretention cell. If the opening is not circular, or if multiple openings are used, calculate the area of the opening and enter it in the space to the right of the worksheet.</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r>
            <a:rPr lang="en-US" sz="1100" b="1" i="0" baseline="0">
              <a:solidFill>
                <a:schemeClr val="dk1"/>
              </a:solidFill>
              <a:effectLst/>
              <a:latin typeface="+mn-lt"/>
              <a:ea typeface="+mn-ea"/>
              <a:cs typeface="+mn-cs"/>
            </a:rPr>
            <a:t>Step 3b</a:t>
          </a:r>
          <a:r>
            <a:rPr lang="en-US" sz="1100" b="0" i="0" baseline="0">
              <a:solidFill>
                <a:schemeClr val="dk1"/>
              </a:solidFill>
              <a:effectLst/>
              <a:latin typeface="+mn-lt"/>
              <a:ea typeface="+mn-ea"/>
              <a:cs typeface="+mn-cs"/>
            </a:rPr>
            <a:t> will calculate the required elevation above the centroid of the opening area to the bioretention cell needed to push the entire WQv peak flow though the opening. In the diversion structure, the overflow weir allowing larger flows to bypass the bioretention cell should be set above the calculated elevation. Enter the design overflow (weir) elevation in </a:t>
          </a:r>
          <a:r>
            <a:rPr lang="en-US" sz="1100" b="1" i="0" baseline="0">
              <a:solidFill>
                <a:schemeClr val="dk1"/>
              </a:solidFill>
              <a:effectLst/>
              <a:latin typeface="+mn-lt"/>
              <a:ea typeface="+mn-ea"/>
              <a:cs typeface="+mn-cs"/>
            </a:rPr>
            <a:t>cell </a:t>
          </a:r>
          <a:r>
            <a:rPr lang="en-US" sz="1100" b="1" i="0" baseline="0">
              <a:solidFill>
                <a:sysClr val="windowText" lastClr="000000"/>
              </a:solidFill>
              <a:effectLst/>
              <a:latin typeface="+mn-lt"/>
              <a:ea typeface="+mn-ea"/>
              <a:cs typeface="+mn-cs"/>
            </a:rPr>
            <a:t>C25</a:t>
          </a:r>
          <a:r>
            <a:rPr lang="en-US" sz="1100" b="0" i="0" baseline="0">
              <a:solidFill>
                <a:sysClr val="windowText" lastClr="000000"/>
              </a:solidFill>
              <a:effectLst/>
              <a:latin typeface="+mn-lt"/>
              <a:ea typeface="+mn-ea"/>
              <a:cs typeface="+mn-cs"/>
            </a:rPr>
            <a:t>. Enter the flowline elevation of the circular orifice in </a:t>
          </a:r>
          <a:r>
            <a:rPr lang="en-US" sz="1100" b="1" i="0" baseline="0">
              <a:solidFill>
                <a:sysClr val="windowText" lastClr="000000"/>
              </a:solidFill>
              <a:effectLst/>
              <a:latin typeface="+mn-lt"/>
              <a:ea typeface="+mn-ea"/>
              <a:cs typeface="+mn-cs"/>
            </a:rPr>
            <a:t>cell C26</a:t>
          </a:r>
          <a:r>
            <a:rPr lang="en-US" sz="1100" b="0" i="0" baseline="0">
              <a:solidFill>
                <a:sysClr val="windowText" lastClr="000000"/>
              </a:solidFill>
              <a:effectLst/>
              <a:latin typeface="+mn-lt"/>
              <a:ea typeface="+mn-ea"/>
              <a:cs typeface="+mn-cs"/>
            </a:rPr>
            <a:t> or manually enter the centroid of the orifice elevation in </a:t>
          </a:r>
          <a:r>
            <a:rPr lang="en-US" sz="1100" b="1" i="0" baseline="0">
              <a:solidFill>
                <a:sysClr val="windowText" lastClr="000000"/>
              </a:solidFill>
              <a:effectLst/>
              <a:latin typeface="+mn-lt"/>
              <a:ea typeface="+mn-ea"/>
              <a:cs typeface="+mn-cs"/>
            </a:rPr>
            <a:t>cell J27</a:t>
          </a:r>
          <a:r>
            <a:rPr lang="en-US" sz="1100" b="0" i="0" baseline="0">
              <a:solidFill>
                <a:sysClr val="windowText" lastClr="000000"/>
              </a:solidFill>
              <a:effectLst/>
              <a:latin typeface="+mn-lt"/>
              <a:ea typeface="+mn-ea"/>
              <a:cs typeface="+mn-cs"/>
            </a:rPr>
            <a:t>. The spreadsheet will calculate the elevation of the bypass weir.</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In</a:t>
          </a:r>
          <a:r>
            <a:rPr lang="en-US" sz="1100" b="1" i="0" baseline="0">
              <a:solidFill>
                <a:schemeClr val="dk1"/>
              </a:solidFill>
              <a:effectLst/>
              <a:latin typeface="+mn-lt"/>
              <a:ea typeface="+mn-ea"/>
              <a:cs typeface="+mn-cs"/>
            </a:rPr>
            <a:t> Step 3c</a:t>
          </a:r>
          <a:r>
            <a:rPr lang="en-US" sz="1100" b="0" i="0" baseline="0">
              <a:solidFill>
                <a:schemeClr val="dk1"/>
              </a:solidFill>
              <a:effectLst/>
              <a:latin typeface="+mn-lt"/>
              <a:ea typeface="+mn-ea"/>
              <a:cs typeface="+mn-cs"/>
            </a:rPr>
            <a:t> enter the design storm for the pipe entering the diversion structure in </a:t>
          </a:r>
          <a:r>
            <a:rPr lang="en-US" sz="1100" b="1" i="0" baseline="0">
              <a:solidFill>
                <a:schemeClr val="dk1"/>
              </a:solidFill>
              <a:effectLst/>
              <a:latin typeface="+mn-lt"/>
              <a:ea typeface="+mn-ea"/>
              <a:cs typeface="+mn-cs"/>
            </a:rPr>
            <a:t>cell C28</a:t>
          </a:r>
          <a:r>
            <a:rPr lang="en-US" sz="1100" b="0" i="0" baseline="0">
              <a:solidFill>
                <a:schemeClr val="dk1"/>
              </a:solidFill>
              <a:effectLst/>
              <a:latin typeface="+mn-lt"/>
              <a:ea typeface="+mn-ea"/>
              <a:cs typeface="+mn-cs"/>
            </a:rPr>
            <a:t>. For example, enter "Q10" if the pipe is designed to convey a 10-year storm event. In </a:t>
          </a:r>
          <a:r>
            <a:rPr lang="en-US" sz="1100" b="1" i="0" baseline="0">
              <a:solidFill>
                <a:schemeClr val="dk1"/>
              </a:solidFill>
              <a:effectLst/>
              <a:latin typeface="+mn-lt"/>
              <a:ea typeface="+mn-ea"/>
              <a:cs typeface="+mn-cs"/>
            </a:rPr>
            <a:t>cell D28</a:t>
          </a:r>
          <a:r>
            <a:rPr lang="en-US" sz="1100" b="0" i="0" baseline="0">
              <a:solidFill>
                <a:schemeClr val="dk1"/>
              </a:solidFill>
              <a:effectLst/>
              <a:latin typeface="+mn-lt"/>
              <a:ea typeface="+mn-ea"/>
              <a:cs typeface="+mn-cs"/>
            </a:rPr>
            <a:t>, enter the peak flow calculated as flowing into the diversion structure for that event (provide supporting calculations, as applicable). The WQv peak flow to be routed to the bioretention cell is carried down into </a:t>
          </a:r>
          <a:r>
            <a:rPr lang="en-US" sz="1100" b="1" i="0" baseline="0">
              <a:solidFill>
                <a:schemeClr val="dk1"/>
              </a:solidFill>
              <a:effectLst/>
              <a:latin typeface="+mn-lt"/>
              <a:ea typeface="+mn-ea"/>
              <a:cs typeface="+mn-cs"/>
            </a:rPr>
            <a:t>cell D29</a:t>
          </a:r>
          <a:r>
            <a:rPr lang="en-US" sz="1100" b="0" i="0" baseline="0">
              <a:solidFill>
                <a:schemeClr val="dk1"/>
              </a:solidFill>
              <a:effectLst/>
              <a:latin typeface="+mn-lt"/>
              <a:ea typeface="+mn-ea"/>
              <a:cs typeface="+mn-cs"/>
            </a:rPr>
            <a:t>. The spreadsheet calculates the target bypass flow (excess flow above the WQv peak rate) </a:t>
          </a:r>
          <a:r>
            <a:rPr lang="en-US" sz="1100" b="1" i="0" baseline="0">
              <a:solidFill>
                <a:schemeClr val="dk1"/>
              </a:solidFill>
              <a:effectLst/>
              <a:latin typeface="+mn-lt"/>
              <a:ea typeface="+mn-ea"/>
              <a:cs typeface="+mn-cs"/>
            </a:rPr>
            <a:t>in cell D30</a:t>
          </a:r>
          <a:r>
            <a:rPr lang="en-US" sz="1100" b="0" i="0" baseline="0">
              <a:solidFill>
                <a:schemeClr val="dk1"/>
              </a:solidFill>
              <a:effectLst/>
              <a:latin typeface="+mn-lt"/>
              <a:ea typeface="+mn-ea"/>
              <a:cs typeface="+mn-cs"/>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Enter the design length of the overflow weir in </a:t>
          </a:r>
          <a:r>
            <a:rPr lang="en-US" sz="1100" b="1" i="0" baseline="0">
              <a:solidFill>
                <a:schemeClr val="dk1"/>
              </a:solidFill>
              <a:effectLst/>
              <a:latin typeface="+mn-lt"/>
              <a:ea typeface="+mn-ea"/>
              <a:cs typeface="+mn-cs"/>
            </a:rPr>
            <a:t>cell D31</a:t>
          </a:r>
          <a:r>
            <a:rPr lang="en-US" sz="1100" b="0" i="0" baseline="0">
              <a:solidFill>
                <a:schemeClr val="dk1"/>
              </a:solidFill>
              <a:effectLst/>
              <a:latin typeface="+mn-lt"/>
              <a:ea typeface="+mn-ea"/>
              <a:cs typeface="+mn-cs"/>
            </a:rPr>
            <a:t>. This may be the diameter of the manhole structure that the weir wall is set within. The expected high water elevation above the weir wall is calculated in </a:t>
          </a:r>
          <a:r>
            <a:rPr lang="en-US" sz="1100" b="1" i="0" baseline="0">
              <a:solidFill>
                <a:schemeClr val="dk1"/>
              </a:solidFill>
              <a:effectLst/>
              <a:latin typeface="+mn-lt"/>
              <a:ea typeface="+mn-ea"/>
              <a:cs typeface="+mn-cs"/>
            </a:rPr>
            <a:t>cell D32</a:t>
          </a:r>
          <a:r>
            <a:rPr lang="en-US" sz="1100" b="0" i="0" baseline="0">
              <a:solidFill>
                <a:schemeClr val="dk1"/>
              </a:solidFill>
              <a:effectLst/>
              <a:latin typeface="+mn-lt"/>
              <a:ea typeface="+mn-ea"/>
              <a:cs typeface="+mn-cs"/>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dk1"/>
              </a:solidFill>
              <a:effectLst/>
              <a:latin typeface="+mn-lt"/>
              <a:ea typeface="+mn-ea"/>
              <a:cs typeface="+mn-cs"/>
            </a:rPr>
            <a:t>In Step 3d, the spreadsheet calculates the actual flow expected to be routed to the bioretention cell during the design storm event, based on the high water elevation from </a:t>
          </a:r>
          <a:r>
            <a:rPr lang="en-US" sz="1100" b="1" i="0" baseline="0">
              <a:solidFill>
                <a:schemeClr val="dk1"/>
              </a:solidFill>
              <a:effectLst/>
              <a:latin typeface="+mn-lt"/>
              <a:ea typeface="+mn-ea"/>
              <a:cs typeface="+mn-cs"/>
            </a:rPr>
            <a:t>cell D32</a:t>
          </a:r>
          <a:r>
            <a:rPr lang="en-US" sz="1100" b="0" i="0" baseline="0">
              <a:solidFill>
                <a:schemeClr val="dk1"/>
              </a:solidFill>
              <a:effectLst/>
              <a:latin typeface="+mn-lt"/>
              <a:ea typeface="+mn-ea"/>
              <a:cs typeface="+mn-cs"/>
            </a:rPr>
            <a:t>. The bypass flow is calculated in </a:t>
          </a:r>
          <a:r>
            <a:rPr lang="en-US" sz="1100" b="1" i="0" baseline="0">
              <a:solidFill>
                <a:schemeClr val="dk1"/>
              </a:solidFill>
              <a:effectLst/>
              <a:latin typeface="+mn-lt"/>
              <a:ea typeface="+mn-ea"/>
              <a:cs typeface="+mn-cs"/>
            </a:rPr>
            <a:t>cell D36 </a:t>
          </a:r>
          <a:r>
            <a:rPr lang="en-US" sz="1100" b="0" i="0" baseline="0">
              <a:solidFill>
                <a:schemeClr val="dk1"/>
              </a:solidFill>
              <a:effectLst/>
              <a:latin typeface="+mn-lt"/>
              <a:ea typeface="+mn-ea"/>
              <a:cs typeface="+mn-cs"/>
            </a:rPr>
            <a:t>(design storm flow - flow diverted to practice).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9525</xdr:colOff>
      <xdr:row>0</xdr:row>
      <xdr:rowOff>152400</xdr:rowOff>
    </xdr:from>
    <xdr:to>
      <xdr:col>17</xdr:col>
      <xdr:colOff>28575</xdr:colOff>
      <xdr:row>31</xdr:row>
      <xdr:rowOff>114300</xdr:rowOff>
    </xdr:to>
    <xdr:sp macro="" textlink="">
      <xdr:nvSpPr>
        <xdr:cNvPr id="2" name="TextBox 1">
          <a:extLst>
            <a:ext uri="{FF2B5EF4-FFF2-40B4-BE49-F238E27FC236}">
              <a16:creationId xmlns:a16="http://schemas.microsoft.com/office/drawing/2014/main" id="{B00E70B3-919A-45EA-A4C1-512CB9DA83BB}"/>
            </a:ext>
          </a:extLst>
        </xdr:cNvPr>
        <xdr:cNvSpPr txBox="1"/>
      </xdr:nvSpPr>
      <xdr:spPr>
        <a:xfrm>
          <a:off x="9791700" y="152400"/>
          <a:ext cx="3962400" cy="493395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Internal Water Storage</a:t>
          </a:r>
          <a:r>
            <a:rPr lang="en-US" sz="1100" b="1" u="sng" baseline="0">
              <a:latin typeface="+mn-lt"/>
            </a:rPr>
            <a:t> Worksheet</a:t>
          </a:r>
          <a:r>
            <a:rPr lang="en-US" sz="1100" b="1" u="sng">
              <a:latin typeface="+mn-lt"/>
            </a:rPr>
            <a:t>:</a:t>
          </a:r>
        </a:p>
        <a:p>
          <a:endParaRPr lang="en-US" sz="1100" b="1" u="sng">
            <a:latin typeface="+mn-lt"/>
          </a:endParaRPr>
        </a:p>
        <a:p>
          <a:pPr marL="171450" indent="-171450">
            <a:buFont typeface="Arial" panose="020B0604020202020204" pitchFamily="34" charset="0"/>
            <a:buChar char="•"/>
          </a:pPr>
          <a:r>
            <a:rPr lang="en-US" sz="1100" b="0" i="0">
              <a:solidFill>
                <a:schemeClr val="dk1"/>
              </a:solidFill>
              <a:effectLst/>
              <a:latin typeface="+mn-lt"/>
              <a:ea typeface="+mn-ea"/>
              <a:cs typeface="+mn-cs"/>
            </a:rPr>
            <a:t>Enter the design</a:t>
          </a:r>
          <a:r>
            <a:rPr lang="en-US" sz="1100" b="0" i="0" baseline="0">
              <a:solidFill>
                <a:schemeClr val="dk1"/>
              </a:solidFill>
              <a:effectLst/>
              <a:latin typeface="+mn-lt"/>
              <a:ea typeface="+mn-ea"/>
              <a:cs typeface="+mn-cs"/>
            </a:rPr>
            <a:t> depth of the Internal Water Storage (IWS) zone in </a:t>
          </a:r>
          <a:r>
            <a:rPr lang="en-US" sz="1100" b="1" i="0" baseline="0">
              <a:solidFill>
                <a:schemeClr val="dk1"/>
              </a:solidFill>
              <a:effectLst/>
              <a:latin typeface="+mn-lt"/>
              <a:ea typeface="+mn-ea"/>
              <a:cs typeface="+mn-cs"/>
            </a:rPr>
            <a:t>cell D14</a:t>
          </a:r>
          <a:r>
            <a:rPr lang="en-US" sz="1100" b="0" i="0" baseline="0">
              <a:solidFill>
                <a:schemeClr val="dk1"/>
              </a:solidFill>
              <a:effectLst/>
              <a:latin typeface="+mn-lt"/>
              <a:ea typeface="+mn-ea"/>
              <a:cs typeface="+mn-cs"/>
            </a:rPr>
            <a:t>.</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r>
            <a:rPr lang="en-US" sz="1100" b="0" i="0" baseline="0">
              <a:solidFill>
                <a:schemeClr val="dk1"/>
              </a:solidFill>
              <a:effectLst/>
              <a:latin typeface="+mn-lt"/>
              <a:ea typeface="+mn-ea"/>
              <a:cs typeface="+mn-cs"/>
            </a:rPr>
            <a:t>Enter the footprint area of the bioretention cell (Af) in </a:t>
          </a:r>
          <a:r>
            <a:rPr lang="en-US" sz="1100" b="1" i="0" baseline="0">
              <a:solidFill>
                <a:schemeClr val="dk1"/>
              </a:solidFill>
              <a:effectLst/>
              <a:latin typeface="+mn-lt"/>
              <a:ea typeface="+mn-ea"/>
              <a:cs typeface="+mn-cs"/>
            </a:rPr>
            <a:t>cell F14</a:t>
          </a:r>
          <a:r>
            <a:rPr lang="en-US" sz="1100" b="0" i="0" baseline="0">
              <a:solidFill>
                <a:schemeClr val="dk1"/>
              </a:solidFill>
              <a:effectLst/>
              <a:latin typeface="+mn-lt"/>
              <a:ea typeface="+mn-ea"/>
              <a:cs typeface="+mn-cs"/>
            </a:rPr>
            <a:t>. The spreadsheet is programmed to take this value from the DWS_Report Form worksheet.</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r>
            <a:rPr lang="en-US" sz="1100" b="0" i="0" baseline="0">
              <a:solidFill>
                <a:schemeClr val="dk1"/>
              </a:solidFill>
              <a:effectLst/>
              <a:latin typeface="+mn-lt"/>
              <a:ea typeface="+mn-ea"/>
              <a:cs typeface="+mn-cs"/>
            </a:rPr>
            <a:t>If applicable, enter the recharge volume to be treated in </a:t>
          </a:r>
          <a:r>
            <a:rPr lang="en-US" sz="1100" b="1" i="0" baseline="0">
              <a:solidFill>
                <a:schemeClr val="dk1"/>
              </a:solidFill>
              <a:effectLst/>
              <a:latin typeface="+mn-lt"/>
              <a:ea typeface="+mn-ea"/>
              <a:cs typeface="+mn-cs"/>
            </a:rPr>
            <a:t>cell D21</a:t>
          </a:r>
          <a:r>
            <a:rPr lang="en-US" sz="1100" b="0" i="0" baseline="0">
              <a:solidFill>
                <a:schemeClr val="dk1"/>
              </a:solidFill>
              <a:effectLst/>
              <a:latin typeface="+mn-lt"/>
              <a:ea typeface="+mn-ea"/>
              <a:cs typeface="+mn-cs"/>
            </a:rPr>
            <a:t>. Viws should exceed the recharge volume, if the practice is expected to fully meet those requirements.</a:t>
          </a:r>
        </a:p>
        <a:p>
          <a:pPr marL="171450" indent="-171450">
            <a:buFont typeface="Arial" panose="020B0604020202020204" pitchFamily="34" charset="0"/>
            <a:buChar char="•"/>
          </a:pPr>
          <a:endParaRPr lang="en-US" sz="1100" b="1" i="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a:solidFill>
                <a:schemeClr val="dk1"/>
              </a:solidFill>
              <a:effectLst/>
              <a:latin typeface="+mn-lt"/>
              <a:ea typeface="+mn-ea"/>
              <a:cs typeface="+mn-cs"/>
            </a:rPr>
            <a:t>Enter the design subdrain flow into</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cell F26</a:t>
          </a:r>
          <a:r>
            <a:rPr lang="en-US" sz="1100" b="0" i="0" baseline="0">
              <a:solidFill>
                <a:schemeClr val="dk1"/>
              </a:solidFill>
              <a:effectLst/>
              <a:latin typeface="+mn-lt"/>
              <a:ea typeface="+mn-ea"/>
              <a:cs typeface="+mn-cs"/>
            </a:rPr>
            <a:t>, as calculated from Step 10 of the bioretention cell design procedure. </a:t>
          </a:r>
          <a:r>
            <a:rPr lang="en-US" sz="1100" b="0" i="0" u="sng" baseline="0">
              <a:solidFill>
                <a:sysClr val="windowText" lastClr="000000"/>
              </a:solidFill>
              <a:effectLst/>
              <a:latin typeface="+mn-lt"/>
              <a:ea typeface="+mn-ea"/>
              <a:cs typeface="+mn-cs"/>
            </a:rPr>
            <a:t>The spreadsheet is programmed to take this value from the DWS_Report Form worksheet by default, but another value may be entered if a restriction is proposed on the subdrain outfall to restrict its outflow rate</a:t>
          </a:r>
          <a:r>
            <a:rPr lang="en-US" sz="1100" b="0" i="0" u="none"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If such a restriction is proposed, provide separate calculations or models showing how the restriction was sized.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ysClr val="windowText" lastClr="000000"/>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ysClr val="windowText" lastClr="000000"/>
              </a:solidFill>
              <a:effectLst/>
              <a:latin typeface="+mn-lt"/>
              <a:ea typeface="+mn-ea"/>
              <a:cs typeface="+mn-cs"/>
            </a:rPr>
            <a:t>The worksheet will calculate the Hydraulic Residence Time (HRT) as shown. The HRT should fall between 6 and 8 hours.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i="0" baseline="0">
            <a:solidFill>
              <a:srgbClr val="FF0000"/>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rgbClr val="FF0000"/>
              </a:solidFill>
              <a:effectLst/>
              <a:latin typeface="+mn-lt"/>
              <a:ea typeface="+mn-ea"/>
              <a:cs typeface="+mn-cs"/>
            </a:rPr>
            <a:t>This tab only needs to be completed if the bioretention cell is designed to include Internal Water Storage (see pages 13 to 20 of the ISWMM Bioretention Section for more information).</a:t>
          </a:r>
          <a:endParaRPr lang="en-US" sz="1100">
            <a:solidFill>
              <a:srgbClr val="FF0000"/>
            </a:solidFill>
            <a:effectLst/>
            <a:latin typeface="+mn-lt"/>
          </a:endParaRP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27</xdr:row>
      <xdr:rowOff>9523</xdr:rowOff>
    </xdr:from>
    <xdr:to>
      <xdr:col>14</xdr:col>
      <xdr:colOff>28575</xdr:colOff>
      <xdr:row>60</xdr:row>
      <xdr:rowOff>66675</xdr:rowOff>
    </xdr:to>
    <xdr:sp macro="" textlink="">
      <xdr:nvSpPr>
        <xdr:cNvPr id="2" name="TextBox 1">
          <a:extLst>
            <a:ext uri="{FF2B5EF4-FFF2-40B4-BE49-F238E27FC236}">
              <a16:creationId xmlns:a16="http://schemas.microsoft.com/office/drawing/2014/main" id="{F24C369F-3D40-4C0D-820E-219532D1762C}"/>
            </a:ext>
          </a:extLst>
        </xdr:cNvPr>
        <xdr:cNvSpPr txBox="1"/>
      </xdr:nvSpPr>
      <xdr:spPr>
        <a:xfrm>
          <a:off x="6772275" y="3752848"/>
          <a:ext cx="3733800" cy="559117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DE_1 (Design Summary) Tab:</a:t>
          </a:r>
        </a:p>
        <a:p>
          <a:endParaRPr lang="en-US" sz="1100" b="1" u="sng">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latin typeface="+mn-lt"/>
            </a:rPr>
            <a:t>Note the WQv volume treated by other BMPs in the blue hatched box (</a:t>
          </a:r>
          <a:r>
            <a:rPr lang="en-US" sz="1100" b="1" baseline="0">
              <a:latin typeface="+mn-lt"/>
            </a:rPr>
            <a:t>cell F14</a:t>
          </a:r>
          <a:r>
            <a:rPr lang="en-US" sz="1100" baseline="0">
              <a:latin typeface="+mn-lt"/>
            </a:rPr>
            <a:t>). This will affect the required volume of pretreatment calculated in Step 4.</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The Detention Basin Metrics information will fill in or calculate automatically as long as subsequent spreadsheet tabs are completed.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The pretreatment volume and high water elevation will automatically fill in with data from other tabs, unless a value is entered in the manual entry space above (if manually entered, the word MANUAL will appear on the checklist).</a:t>
          </a:r>
          <a:endParaRPr lang="en-US" sz="1100">
            <a:effectLst/>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a:solidFill>
                <a:schemeClr val="dk1"/>
              </a:solidFill>
              <a:effectLst/>
              <a:latin typeface="+mn-lt"/>
              <a:ea typeface="+mn-ea"/>
              <a:cs typeface="+mn-cs"/>
            </a:rPr>
            <a:t>Complete Detention Basin</a:t>
          </a:r>
          <a:r>
            <a:rPr lang="en-US" sz="1100" baseline="0">
              <a:solidFill>
                <a:schemeClr val="dk1"/>
              </a:solidFill>
              <a:effectLst/>
              <a:latin typeface="+mn-lt"/>
              <a:ea typeface="+mn-ea"/>
              <a:cs typeface="+mn-cs"/>
            </a:rPr>
            <a:t> Topography and Other Information on this sheet. Fill in light orange and gray shaded boxes.</a:t>
          </a: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latin typeface="+mn-lt"/>
          </a:endParaRPr>
        </a:p>
        <a:p>
          <a:pPr marL="171450" indent="-171450">
            <a:buFont typeface="Arial" panose="020B0604020202020204" pitchFamily="34" charset="0"/>
            <a:buChar char="•"/>
          </a:pPr>
          <a:r>
            <a:rPr lang="en-US" sz="1100" baseline="0">
              <a:latin typeface="+mn-lt"/>
            </a:rPr>
            <a:t>If a "essential" or "target" criteria from ISWMM Section 9.10 or 9.12 (as applicable) is not met a red </a:t>
          </a:r>
          <a:r>
            <a:rPr lang="en-US" sz="1100" baseline="0">
              <a:solidFill>
                <a:srgbClr val="C00000"/>
              </a:solidFill>
              <a:latin typeface="+mn-lt"/>
            </a:rPr>
            <a:t>"!"</a:t>
          </a:r>
          <a:r>
            <a:rPr lang="en-US" sz="1100" baseline="0">
              <a:latin typeface="+mn-lt"/>
            </a:rPr>
            <a:t> will appear next to the criteria. If some of these parameters are not met, the stormwater management report should address why it is not feasible to meet these criteria, so that reviewers can decide if the design needs to be revised to meet such criteria. </a:t>
          </a:r>
        </a:p>
        <a:p>
          <a:pPr marL="171450" indent="-171450">
            <a:buFont typeface="Arial" panose="020B0604020202020204" pitchFamily="34" charset="0"/>
            <a:buChar char="•"/>
          </a:pPr>
          <a:endParaRPr lang="en-US" sz="1100" baseline="0">
            <a:latin typeface="+mn-lt"/>
          </a:endParaRPr>
        </a:p>
        <a:p>
          <a:pPr marL="171450" indent="-171450">
            <a:buFont typeface="Arial" panose="020B0604020202020204" pitchFamily="34" charset="0"/>
            <a:buChar char="•"/>
          </a:pPr>
          <a:r>
            <a:rPr lang="en-US" sz="1100" baseline="0">
              <a:latin typeface="+mn-lt"/>
            </a:rPr>
            <a:t>Local jurisdictions or grant funding sources may dictate at what stage in the design process items listed under "other information" need to be provided. </a:t>
          </a:r>
          <a:endParaRPr lang="en-US" sz="1100">
            <a:latin typeface="+mn-l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0</xdr:colOff>
      <xdr:row>0</xdr:row>
      <xdr:rowOff>9524</xdr:rowOff>
    </xdr:from>
    <xdr:to>
      <xdr:col>19</xdr:col>
      <xdr:colOff>133350</xdr:colOff>
      <xdr:row>64</xdr:row>
      <xdr:rowOff>104775</xdr:rowOff>
    </xdr:to>
    <xdr:sp macro="" textlink="">
      <xdr:nvSpPr>
        <xdr:cNvPr id="2" name="TextBox 1">
          <a:extLst>
            <a:ext uri="{FF2B5EF4-FFF2-40B4-BE49-F238E27FC236}">
              <a16:creationId xmlns:a16="http://schemas.microsoft.com/office/drawing/2014/main" id="{F64C9D41-77B3-4CC8-8651-96439985C6E7}"/>
            </a:ext>
          </a:extLst>
        </xdr:cNvPr>
        <xdr:cNvSpPr txBox="1"/>
      </xdr:nvSpPr>
      <xdr:spPr>
        <a:xfrm>
          <a:off x="8524875" y="9524"/>
          <a:ext cx="3676650" cy="1036320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DE_2 (Watershed Info) Tab:</a:t>
          </a:r>
        </a:p>
        <a:p>
          <a:endParaRPr lang="en-US" sz="1100" b="1" u="sng">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solidFill>
                <a:srgbClr val="FF0000"/>
              </a:solidFill>
              <a:effectLst/>
              <a:latin typeface="+mn-lt"/>
              <a:ea typeface="+mn-ea"/>
              <a:cs typeface="+mn-cs"/>
            </a:rPr>
            <a:t>This page only needs to be completed if this practice is used to provide stormwater detention for storms larger than the WQv event and detention routing models have been completed. A separate worksheet should be completed for each separate subsurface storage system.</a:t>
          </a:r>
          <a:endParaRPr lang="en-US" sz="1100" b="1">
            <a:solidFill>
              <a:srgbClr val="FF0000"/>
            </a:solidFill>
            <a:effectLst/>
            <a:latin typeface="+mn-lt"/>
          </a:endParaRPr>
        </a:p>
        <a:p>
          <a:pPr marL="171450" indent="-171450">
            <a:buFont typeface="Arial" panose="020B0604020202020204" pitchFamily="34" charset="0"/>
            <a:buChar char="•"/>
          </a:pPr>
          <a:endParaRPr lang="en-US" sz="1100">
            <a:latin typeface="+mn-lt"/>
          </a:endParaRPr>
        </a:p>
        <a:p>
          <a:pPr marL="171450" indent="-171450">
            <a:buFont typeface="Arial" panose="020B0604020202020204" pitchFamily="34" charset="0"/>
            <a:buChar char="•"/>
          </a:pPr>
          <a:r>
            <a:rPr lang="en-US" sz="1100">
              <a:latin typeface="+mn-lt"/>
            </a:rPr>
            <a:t>Complete Watershed Properties (acres of each land use) for the area to be served by the practice in </a:t>
          </a:r>
          <a:r>
            <a:rPr lang="en-US" sz="1100" baseline="0">
              <a:latin typeface="+mn-lt"/>
            </a:rPr>
            <a:t>gray shaded boxes.</a:t>
          </a:r>
        </a:p>
        <a:p>
          <a:pPr marL="171450" indent="-171450">
            <a:buFont typeface="Arial" panose="020B0604020202020204" pitchFamily="34" charset="0"/>
            <a:buChar cha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latin typeface="+mn-lt"/>
            </a:rPr>
            <a:t>Note that for Natural Conditions, some jurisdictions may dictate what Curve Numbers (CN) may be assumed. In such a case, the natural CN may be entered manually in the space provided.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mn-lt"/>
          </a:endParaRPr>
        </a:p>
        <a:p>
          <a:pPr marL="171450" indent="-171450">
            <a:buFont typeface="Arial" panose="020B0604020202020204" pitchFamily="34" charset="0"/>
            <a:buChar char="•"/>
          </a:pPr>
          <a:r>
            <a:rPr lang="en-US" sz="1100" baseline="0">
              <a:latin typeface="+mn-lt"/>
            </a:rPr>
            <a:t>For Existing and Proposed Conditions, enter area of impervious cover, open space and row crop categories, based on local Hydrologic Soil Group (HSG) category. If data is entered for those parameters, the spreadsheet will calculate weighted CNs and WQv volume based on those properties. The values used by this program to calculate the weighted CNs for open space and row crop areas are listed to the right of the printable area. </a:t>
          </a:r>
          <a:r>
            <a:rPr lang="en-US" sz="1100" baseline="0">
              <a:solidFill>
                <a:srgbClr val="7030A0"/>
              </a:solidFill>
              <a:latin typeface="+mn-lt"/>
            </a:rPr>
            <a:t>Refer to ISWMM for guidance on assumptions for open space soil quality (Sections 7.03, 9.08 and 3.01).</a:t>
          </a:r>
        </a:p>
        <a:p>
          <a:pPr marL="171450" indent="-171450">
            <a:buFont typeface="Arial" panose="020B0604020202020204" pitchFamily="34" charset="0"/>
            <a:buChar cha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All urban land uses should be divided into impervious and open space areas. If the % of impervious cover is not specifically known, </a:t>
          </a:r>
          <a:r>
            <a:rPr lang="en-US" sz="1100" baseline="0">
              <a:solidFill>
                <a:srgbClr val="7030A0"/>
              </a:solidFill>
              <a:effectLst/>
              <a:latin typeface="+mn-lt"/>
              <a:ea typeface="+mn-ea"/>
              <a:cs typeface="+mn-cs"/>
            </a:rPr>
            <a:t>the ISWMM Section on TR-55 or the TR-55 manual can be used as a basis to project the % impervious land cover of various urban land uses.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"Unique areas" should only be used for surfaces that can't be described as impervious surfaces, open spaces or row crops. (For example, green roofs have unique curve numbers and may satisfy the WQv volume of the areas that drain to them.) When used, enter the CN to be used for these areas.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The spreadsheet will not calculate the WQv volume for "Unique areas", unless the box next to the </a:t>
          </a:r>
          <a:r>
            <a:rPr lang="en-US" sz="1100" baseline="0">
              <a:solidFill>
                <a:schemeClr val="dk1"/>
              </a:solidFill>
              <a:latin typeface="+mn-lt"/>
              <a:ea typeface="+mn-ea"/>
              <a:cs typeface="+mn-cs"/>
            </a:rPr>
            <a:t>"Unique Areas Counted as 100% Impervious for WQv calculation?" is entered as </a:t>
          </a:r>
          <a:r>
            <a:rPr lang="en-US" sz="1100" b="1" u="sng" baseline="0">
              <a:solidFill>
                <a:schemeClr val="dk1"/>
              </a:solidFill>
              <a:latin typeface="+mn-lt"/>
              <a:ea typeface="+mn-ea"/>
              <a:cs typeface="+mn-cs"/>
            </a:rPr>
            <a:t>"Y"</a:t>
          </a:r>
          <a:r>
            <a:rPr lang="en-US" sz="1100" b="0" u="none" baseline="0">
              <a:solidFill>
                <a:schemeClr val="dk1"/>
              </a:solidFill>
              <a:latin typeface="+mn-lt"/>
              <a:ea typeface="+mn-ea"/>
              <a:cs typeface="+mn-cs"/>
            </a:rPr>
            <a:t> (</a:t>
          </a:r>
          <a:r>
            <a:rPr lang="en-US" sz="1100" b="1" u="none" baseline="0">
              <a:solidFill>
                <a:schemeClr val="dk1"/>
              </a:solidFill>
              <a:latin typeface="+mn-lt"/>
              <a:ea typeface="+mn-ea"/>
              <a:cs typeface="+mn-cs"/>
            </a:rPr>
            <a:t>Cell E28 and/or E44</a:t>
          </a:r>
          <a:r>
            <a:rPr lang="en-US" sz="1100" b="0" u="none" baseline="0">
              <a:solidFill>
                <a:schemeClr val="dk1"/>
              </a:solidFill>
              <a:latin typeface="+mn-lt"/>
              <a:ea typeface="+mn-ea"/>
              <a:cs typeface="+mn-cs"/>
            </a:rPr>
            <a:t>).</a:t>
          </a:r>
          <a:r>
            <a:rPr lang="en-US" sz="1100" b="0" u="none" baseline="0">
              <a:solidFill>
                <a:schemeClr val="dk1"/>
              </a:solidFill>
              <a:effectLst/>
              <a:latin typeface="+mn-lt"/>
              <a:ea typeface="+mn-ea"/>
              <a:cs typeface="+mn-cs"/>
            </a:rPr>
            <a:t> </a:t>
          </a:r>
          <a:r>
            <a:rPr lang="en-US" sz="1100" baseline="0">
              <a:solidFill>
                <a:schemeClr val="dk1"/>
              </a:solidFill>
              <a:effectLst/>
              <a:latin typeface="+mn-lt"/>
              <a:ea typeface="+mn-ea"/>
              <a:cs typeface="+mn-cs"/>
            </a:rPr>
            <a:t>If </a:t>
          </a:r>
          <a:r>
            <a:rPr lang="en-US" sz="1100" b="1" u="sng" baseline="0">
              <a:solidFill>
                <a:schemeClr val="dk1"/>
              </a:solidFill>
              <a:effectLst/>
              <a:latin typeface="+mn-lt"/>
              <a:ea typeface="+mn-ea"/>
              <a:cs typeface="+mn-cs"/>
            </a:rPr>
            <a:t>"Y"</a:t>
          </a:r>
          <a:r>
            <a:rPr lang="en-US" sz="1100" baseline="0">
              <a:solidFill>
                <a:schemeClr val="dk1"/>
              </a:solidFill>
              <a:effectLst/>
              <a:latin typeface="+mn-lt"/>
              <a:ea typeface="+mn-ea"/>
              <a:cs typeface="+mn-cs"/>
            </a:rPr>
            <a:t> is entered, the spreadsheet will treat such areas as 100% impervious.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The WQv volume for "Unique areas" may also be manually entered to the right of either the "Existing" or "Proposed" watershed data entry area, as applicable (provide separate documentation). When used, enter </a:t>
          </a:r>
          <a:r>
            <a:rPr lang="en-US" sz="1100" b="1" u="sng" baseline="0">
              <a:solidFill>
                <a:schemeClr val="dk1"/>
              </a:solidFill>
              <a:effectLst/>
              <a:latin typeface="+mn-lt"/>
              <a:ea typeface="+mn-ea"/>
              <a:cs typeface="+mn-cs"/>
            </a:rPr>
            <a:t>"N"</a:t>
          </a:r>
          <a:r>
            <a:rPr lang="en-US" sz="1100" baseline="0">
              <a:solidFill>
                <a:schemeClr val="dk1"/>
              </a:solidFill>
              <a:effectLst/>
              <a:latin typeface="+mn-lt"/>
              <a:ea typeface="+mn-ea"/>
              <a:cs typeface="+mn-cs"/>
            </a:rPr>
            <a:t> in the  box next to the "Unique Areas Counted as 100% Impervious for WQv calculation?" If data is manually entered, the word MANUAL will appear on the checklist.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If data is entered correctly, the green, yellow and orange shaded boxes will calculate automatically, noting the total watershed area, impervious cover, WQv volume and CNs (both standard and adjusted WQv event value).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0</xdr:colOff>
      <xdr:row>0</xdr:row>
      <xdr:rowOff>0</xdr:rowOff>
    </xdr:from>
    <xdr:to>
      <xdr:col>17</xdr:col>
      <xdr:colOff>133350</xdr:colOff>
      <xdr:row>86</xdr:row>
      <xdr:rowOff>104774</xdr:rowOff>
    </xdr:to>
    <xdr:sp macro="" textlink="">
      <xdr:nvSpPr>
        <xdr:cNvPr id="2" name="TextBox 1">
          <a:extLst>
            <a:ext uri="{FF2B5EF4-FFF2-40B4-BE49-F238E27FC236}">
              <a16:creationId xmlns:a16="http://schemas.microsoft.com/office/drawing/2014/main" id="{1DDECA40-01BC-4A7D-A359-925D6C29FFE6}"/>
            </a:ext>
          </a:extLst>
        </xdr:cNvPr>
        <xdr:cNvSpPr txBox="1"/>
      </xdr:nvSpPr>
      <xdr:spPr>
        <a:xfrm>
          <a:off x="7934325" y="0"/>
          <a:ext cx="3676650" cy="1458277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a:t>
          </a:r>
          <a:r>
            <a:rPr lang="en-US" sz="1100" b="1" u="sng" baseline="0">
              <a:latin typeface="+mn-lt"/>
            </a:rPr>
            <a:t> DE_3 (Detention Hydrology) Tab</a:t>
          </a:r>
          <a:r>
            <a:rPr lang="en-US" sz="1100" b="1" u="sng">
              <a:latin typeface="+mn-lt"/>
            </a:rPr>
            <a:t>:</a:t>
          </a:r>
        </a:p>
        <a:p>
          <a:endParaRPr lang="en-US" sz="1100" b="1" u="sng">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srgbClr val="FF0000"/>
              </a:solidFill>
              <a:effectLst/>
              <a:uLnTx/>
              <a:uFillTx/>
              <a:latin typeface="+mn-lt"/>
              <a:ea typeface="+mn-ea"/>
              <a:cs typeface="+mn-cs"/>
            </a:rPr>
            <a:t>This page only needs to be completed if this practice is used to provide stormwater detention for storms larger than the WQv event and detention routing models have been completed.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1" i="0" u="none" strike="noStrike" kern="0" cap="none" spc="0" normalizeH="0" baseline="0" noProof="0">
            <a:ln>
              <a:noFill/>
            </a:ln>
            <a:solidFill>
              <a:srgbClr val="FF0000"/>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This worksheet is used to project the amount of detention storage that would be required for various storm events, based on known allowable release rates.  This information can be used for </a:t>
          </a:r>
          <a:r>
            <a:rPr kumimoji="0" lang="en-US" sz="1100" b="0" i="0" u="sng" strike="noStrike" kern="0" cap="none" spc="0" normalizeH="0" baseline="0" noProof="0">
              <a:ln>
                <a:noFill/>
              </a:ln>
              <a:solidFill>
                <a:sysClr val="windowText" lastClr="000000"/>
              </a:solidFill>
              <a:effectLst/>
              <a:uLnTx/>
              <a:uFillTx/>
              <a:latin typeface="+mn-lt"/>
              <a:ea typeface="+mn-ea"/>
              <a:cs typeface="+mn-cs"/>
            </a:rPr>
            <a:t>preliminary</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sizing of the BMP.</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srgbClr val="FF0000"/>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srgbClr val="FF0000"/>
              </a:solidFill>
              <a:effectLst/>
              <a:uLnTx/>
              <a:uFillTx/>
              <a:latin typeface="+mn-lt"/>
              <a:ea typeface="+mn-ea"/>
              <a:cs typeface="+mn-cs"/>
            </a:rPr>
            <a:t>Use of this tab to estimate requried storage is OPTIONAL.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It follows procedures as per ISWMM Section 9.02 which can be used to estimate the required storage expected to be needed to meet release rate requirements.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srgbClr val="FF0000"/>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If the designer chooses to not use this tab to estimate storage, the designer should at least enter the local rainfall volumes in </a:t>
          </a:r>
          <a:r>
            <a:rPr kumimoji="0" lang="en-US" sz="1100" b="1" i="0" u="none" strike="noStrike" kern="0" cap="none" spc="0" normalizeH="0" baseline="0" noProof="0">
              <a:ln>
                <a:noFill/>
              </a:ln>
              <a:solidFill>
                <a:sysClr val="windowText" lastClr="000000"/>
              </a:solidFill>
              <a:effectLst/>
              <a:uLnTx/>
              <a:uFillTx/>
              <a:latin typeface="+mn-lt"/>
              <a:ea typeface="+mn-ea"/>
              <a:cs typeface="+mn-cs"/>
            </a:rPr>
            <a:t>Cells B20 to B26</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the peak inflow rate into the practice in </a:t>
          </a:r>
          <a:r>
            <a:rPr kumimoji="0" lang="en-US" sz="1100" b="1" i="0" u="none" strike="noStrike" kern="0" cap="none" spc="0" normalizeH="0" baseline="0" noProof="0">
              <a:ln>
                <a:noFill/>
              </a:ln>
              <a:solidFill>
                <a:sysClr val="windowText" lastClr="000000"/>
              </a:solidFill>
              <a:effectLst/>
              <a:uLnTx/>
              <a:uFillTx/>
              <a:latin typeface="+mn-lt"/>
              <a:ea typeface="+mn-ea"/>
              <a:cs typeface="+mn-cs"/>
            </a:rPr>
            <a:t>Cells G20 to G26</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and the allowable release rate in </a:t>
          </a:r>
          <a:r>
            <a:rPr kumimoji="0" lang="en-US" sz="1100" b="1" i="0" u="none" strike="noStrike" kern="0" cap="none" spc="0" normalizeH="0" baseline="0" noProof="0">
              <a:ln>
                <a:noFill/>
              </a:ln>
              <a:solidFill>
                <a:sysClr val="windowText" lastClr="000000"/>
              </a:solidFill>
              <a:effectLst/>
              <a:uLnTx/>
              <a:uFillTx/>
              <a:latin typeface="+mn-lt"/>
              <a:ea typeface="+mn-ea"/>
              <a:cs typeface="+mn-cs"/>
            </a:rPr>
            <a:t>Cells J38 to J44,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in order for the metrics on DE_1 (Design Summary) and DE_6 (Results) to calculate correctly.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Cells B20 - B26: </a:t>
          </a:r>
          <a:r>
            <a:rPr kumimoji="0" lang="en-US" sz="1100" b="0" i="0" u="none" strike="noStrike" kern="0" cap="none" spc="0" normalizeH="0" baseline="0" noProof="0">
              <a:ln>
                <a:noFill/>
              </a:ln>
              <a:solidFill>
                <a:prstClr val="black"/>
              </a:solidFill>
              <a:effectLst/>
              <a:uLnTx/>
              <a:uFillTx/>
              <a:latin typeface="+mn-lt"/>
              <a:ea typeface="+mn-ea"/>
              <a:cs typeface="+mn-cs"/>
            </a:rPr>
            <a:t>Enter the rainfall data used for the model, in the blue fields.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After hydrologic models of the natural, existing and developed conditions have been created, enter the runoff peak rate and volume for the various storm events in the appropriate cells within the colored spaces within the table. Typically this will be output from a software program running a TR-55 model simulation. </a:t>
          </a:r>
          <a:r>
            <a:rPr kumimoji="0" lang="en-US" sz="1100" b="0" i="0" u="none" strike="noStrike" kern="0" cap="none" spc="0" normalizeH="0" baseline="0" noProof="0">
              <a:ln>
                <a:noFill/>
              </a:ln>
              <a:solidFill>
                <a:srgbClr val="FF0000"/>
              </a:solidFill>
              <a:effectLst/>
              <a:uLnTx/>
              <a:uFillTx/>
              <a:latin typeface="+mn-lt"/>
              <a:ea typeface="+mn-ea"/>
              <a:cs typeface="+mn-cs"/>
            </a:rPr>
            <a:t>(Note that for small watershed areas, it is important that analyses be completed with 1-minute time step intervals.)</a:t>
          </a: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The flow data input into these cells should be the total flows entering the stormwater management practice.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Cell E30: </a:t>
          </a:r>
          <a:r>
            <a:rPr kumimoji="0" lang="en-US" sz="1100" b="0" i="0" u="none" strike="noStrike" kern="0" cap="none" spc="0" normalizeH="0" baseline="0" noProof="0">
              <a:ln>
                <a:noFill/>
              </a:ln>
              <a:solidFill>
                <a:prstClr val="black"/>
              </a:solidFill>
              <a:effectLst/>
              <a:uLnTx/>
              <a:uFillTx/>
              <a:latin typeface="+mn-lt"/>
              <a:ea typeface="+mn-ea"/>
              <a:cs typeface="+mn-cs"/>
            </a:rPr>
            <a:t>After the flow data has been entered, the unit peak discharge value (qu) should calculate automatically.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Use this value for the graph of (qu) vs (qo/qi) in the Small Storm Hydrology section of ISWMM to determi</a:t>
          </a:r>
          <a:r>
            <a:rPr kumimoji="0" lang="en-US" sz="1100" b="0" i="0" u="none" strike="noStrike" kern="0" cap="none" spc="0" normalizeH="0" baseline="0" noProof="0">
              <a:ln>
                <a:noFill/>
              </a:ln>
              <a:solidFill>
                <a:prstClr val="black"/>
              </a:solidFill>
              <a:effectLst/>
              <a:uLnTx/>
              <a:uFillTx/>
              <a:latin typeface="+mn-lt"/>
              <a:ea typeface="+mn-ea"/>
              <a:cs typeface="+mn-cs"/>
            </a:rPr>
            <a:t>ne the allowable outflow to inflow ratio (qo/qi) to provide for extended detention, using a desired 24-hour drawdown period (example shown below the data entry sheet).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Cell E31: </a:t>
          </a:r>
          <a:r>
            <a:rPr kumimoji="0" lang="en-US" sz="1100" b="0" i="0" u="none" strike="noStrike" kern="0" cap="none" spc="0" normalizeH="0" baseline="0" noProof="0">
              <a:ln>
                <a:noFill/>
              </a:ln>
              <a:solidFill>
                <a:prstClr val="black"/>
              </a:solidFill>
              <a:effectLst/>
              <a:uLnTx/>
              <a:uFillTx/>
              <a:latin typeface="+mn-lt"/>
              <a:ea typeface="+mn-ea"/>
              <a:cs typeface="+mn-cs"/>
            </a:rPr>
            <a:t>Entering the appropriate (qo/qi) ratio will allow the spreadsheet to solve for the maximum allowable release rate for extended detention (qo). </a:t>
          </a:r>
          <a:r>
            <a:rPr kumimoji="0" lang="en-US" sz="1100" b="0" i="0" u="none" strike="noStrike" kern="0" cap="none" spc="0" normalizeH="0" baseline="0" noProof="0">
              <a:ln>
                <a:noFill/>
              </a:ln>
              <a:solidFill>
                <a:srgbClr val="7030A0"/>
              </a:solidFill>
              <a:effectLst/>
              <a:uLnTx/>
              <a:uFillTx/>
              <a:latin typeface="+mn-lt"/>
              <a:ea typeface="+mn-ea"/>
              <a:cs typeface="+mn-cs"/>
            </a:rPr>
            <a:t>These values are interpreted from a graph in the Small Storm Hydrology section of ISWMM</a:t>
          </a:r>
          <a:r>
            <a:rPr kumimoji="0" lang="en-US" sz="1100" b="0" i="0" u="none" strike="noStrike" kern="0" cap="none" spc="0" normalizeH="0" baseline="0" noProof="0">
              <a:ln>
                <a:noFill/>
              </a:ln>
              <a:solidFill>
                <a:srgbClr val="002060"/>
              </a:solidFill>
              <a:effectLst/>
              <a:uLnTx/>
              <a:uFillTx/>
              <a:latin typeface="+mn-lt"/>
              <a:ea typeface="+mn-ea"/>
              <a:cs typeface="+mn-cs"/>
            </a:rPr>
            <a:t>, with an example shown below the worksheet in this tab. </a:t>
          </a:r>
          <a:r>
            <a:rPr kumimoji="0" lang="en-US" sz="1100" b="0" i="0" u="none" strike="noStrike" kern="0" cap="none" spc="0" normalizeH="0" baseline="0" noProof="0">
              <a:ln>
                <a:noFill/>
              </a:ln>
              <a:solidFill>
                <a:prstClr val="black"/>
              </a:solidFill>
              <a:effectLst/>
              <a:uLnTx/>
              <a:uFillTx/>
              <a:latin typeface="+mn-lt"/>
              <a:ea typeface="+mn-ea"/>
              <a:cs typeface="+mn-cs"/>
            </a:rPr>
            <a:t>The final routing model will need to demonstrate that the allowable release rate for CPv (</a:t>
          </a:r>
          <a:r>
            <a:rPr kumimoji="0" lang="en-US" sz="1100" b="1" i="0" u="none" strike="noStrike" kern="0" cap="none" spc="0" normalizeH="0" baseline="0" noProof="0">
              <a:ln>
                <a:noFill/>
              </a:ln>
              <a:solidFill>
                <a:prstClr val="black"/>
              </a:solidFill>
              <a:effectLst/>
              <a:uLnTx/>
              <a:uFillTx/>
              <a:latin typeface="+mn-lt"/>
              <a:ea typeface="+mn-ea"/>
              <a:cs typeface="+mn-cs"/>
            </a:rPr>
            <a:t>Cell E31</a:t>
          </a:r>
          <a:r>
            <a:rPr kumimoji="0" lang="en-US" sz="1100" b="0" i="0" u="none" strike="noStrike" kern="0" cap="none" spc="0" normalizeH="0" baseline="0" noProof="0">
              <a:ln>
                <a:noFill/>
              </a:ln>
              <a:solidFill>
                <a:prstClr val="black"/>
              </a:solidFill>
              <a:effectLst/>
              <a:uLnTx/>
              <a:uFillTx/>
              <a:latin typeface="+mn-lt"/>
              <a:ea typeface="+mn-ea"/>
              <a:cs typeface="+mn-cs"/>
            </a:rPr>
            <a:t>) are not exceeded when extended detention of that event is proposed.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Once all data has been entered in the shaded fields, estimates of storage volume will be calculated automatically. Note that these are not the final storage volumes required, but are intended to give designers preliminary estimates of how much storage will be needed, so that information can be used in planning and design of the practice.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srgbClr val="002060"/>
              </a:solidFill>
              <a:effectLst/>
              <a:uLnTx/>
              <a:uFillTx/>
              <a:latin typeface="+mn-lt"/>
              <a:ea typeface="+mn-ea"/>
              <a:cs typeface="+mn-cs"/>
            </a:rPr>
            <a:t>Cell H45: </a:t>
          </a:r>
          <a:r>
            <a:rPr kumimoji="0" lang="en-US" sz="1100" b="0" i="0" u="none" strike="noStrike" kern="0" cap="none" spc="0" normalizeH="0" baseline="0" noProof="0">
              <a:ln>
                <a:noFill/>
              </a:ln>
              <a:solidFill>
                <a:srgbClr val="002060"/>
              </a:solidFill>
              <a:effectLst/>
              <a:uLnTx/>
              <a:uFillTx/>
              <a:latin typeface="+mn-lt"/>
              <a:ea typeface="+mn-ea"/>
              <a:cs typeface="+mn-cs"/>
            </a:rPr>
            <a:t>For estimation purposes, a </a:t>
          </a:r>
          <a:r>
            <a:rPr kumimoji="0" lang="en-US" sz="1100" b="1" i="0" u="none" strike="noStrike" kern="0" cap="none" spc="0" normalizeH="0" baseline="0" noProof="0">
              <a:ln>
                <a:noFill/>
              </a:ln>
              <a:solidFill>
                <a:srgbClr val="002060"/>
              </a:solidFill>
              <a:effectLst/>
              <a:uLnTx/>
              <a:uFillTx/>
              <a:latin typeface="+mn-lt"/>
              <a:ea typeface="+mn-ea"/>
              <a:cs typeface="+mn-cs"/>
            </a:rPr>
            <a:t>Factor of Safety (FS) </a:t>
          </a:r>
          <a:r>
            <a:rPr kumimoji="0" lang="en-US" sz="1100" b="0" i="0" u="none" strike="noStrike" kern="0" cap="none" spc="0" normalizeH="0" baseline="0" noProof="0">
              <a:ln>
                <a:noFill/>
              </a:ln>
              <a:solidFill>
                <a:srgbClr val="002060"/>
              </a:solidFill>
              <a:effectLst/>
              <a:uLnTx/>
              <a:uFillTx/>
              <a:latin typeface="+mn-lt"/>
              <a:ea typeface="+mn-ea"/>
              <a:cs typeface="+mn-cs"/>
            </a:rPr>
            <a:t>of 1.15 is recommended for most above ground detention practices, which has been found to make preliminary storage estimates be closer to what final design values may be. The designer may enter a different FS as desired.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The default outflow rates used for storage estimation for CPv are based on the (qo) for extended detention of these events. For larger storms, the default release rates are based on the smaller value of: (1) the peak "natural" release rate for the same storm event and (2) the peak "existing" release rate for the 5-year storm event.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If local requirements or site characteristics require a different release rate to be used, it may be entered manually for each event to the right of the calculation table. (If allowable release rates are manually entered, the word MANUAL will appear on the checklist).</a:t>
          </a:r>
        </a:p>
      </xdr:txBody>
    </xdr:sp>
    <xdr:clientData/>
  </xdr:twoCellAnchor>
  <xdr:twoCellAnchor editAs="oneCell">
    <xdr:from>
      <xdr:col>0</xdr:col>
      <xdr:colOff>85724</xdr:colOff>
      <xdr:row>50</xdr:row>
      <xdr:rowOff>66674</xdr:rowOff>
    </xdr:from>
    <xdr:to>
      <xdr:col>8</xdr:col>
      <xdr:colOff>9524</xdr:colOff>
      <xdr:row>75</xdr:row>
      <xdr:rowOff>125376</xdr:rowOff>
    </xdr:to>
    <xdr:pic>
      <xdr:nvPicPr>
        <xdr:cNvPr id="3" name="Picture 2">
          <a:extLst>
            <a:ext uri="{FF2B5EF4-FFF2-40B4-BE49-F238E27FC236}">
              <a16:creationId xmlns:a16="http://schemas.microsoft.com/office/drawing/2014/main" id="{25F07D7E-E2C4-492C-8086-8AAFF51979A2}"/>
            </a:ext>
          </a:extLst>
        </xdr:cNvPr>
        <xdr:cNvPicPr>
          <a:picLocks noChangeAspect="1"/>
        </xdr:cNvPicPr>
      </xdr:nvPicPr>
      <xdr:blipFill>
        <a:blip xmlns:r="http://schemas.openxmlformats.org/officeDocument/2006/relationships" r:embed="rId1"/>
        <a:stretch>
          <a:fillRect/>
        </a:stretch>
      </xdr:blipFill>
      <xdr:spPr>
        <a:xfrm>
          <a:off x="85724" y="8963024"/>
          <a:ext cx="5648325" cy="41068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01368-505E-4A06-A3B4-FBBD0D86B04E}">
  <sheetPr>
    <tabColor rgb="FFFF0000"/>
    <pageSetUpPr fitToPage="1"/>
  </sheetPr>
  <dimension ref="A1:K76"/>
  <sheetViews>
    <sheetView tabSelected="1" view="pageBreakPreview" zoomScaleNormal="100" zoomScaleSheetLayoutView="100" workbookViewId="0">
      <selection activeCell="A64" sqref="A64:XFD64"/>
    </sheetView>
  </sheetViews>
  <sheetFormatPr defaultColWidth="8.85546875" defaultRowHeight="12" x14ac:dyDescent="0.2"/>
  <cols>
    <col min="1" max="3" width="8.85546875" style="5"/>
    <col min="4" max="4" width="10" style="5" customWidth="1"/>
    <col min="5" max="16384" width="8.85546875" style="5"/>
  </cols>
  <sheetData>
    <row r="1" spans="1:11" s="2" customFormat="1" ht="12.75" x14ac:dyDescent="0.2">
      <c r="A1" s="377" t="s">
        <v>358</v>
      </c>
      <c r="B1" s="377"/>
      <c r="C1" s="377"/>
      <c r="D1" s="377"/>
      <c r="E1" s="377"/>
      <c r="F1" s="377"/>
      <c r="G1" s="377"/>
      <c r="H1" s="377"/>
      <c r="I1" s="377"/>
      <c r="J1" s="377"/>
      <c r="K1" s="1"/>
    </row>
    <row r="2" spans="1:11" s="2" customFormat="1" ht="12.75" x14ac:dyDescent="0.2">
      <c r="A2" s="15"/>
      <c r="B2" s="15"/>
      <c r="C2" s="15"/>
      <c r="D2" s="15"/>
      <c r="E2" s="15"/>
      <c r="F2" s="15"/>
      <c r="G2" s="15"/>
      <c r="H2" s="15"/>
      <c r="I2" s="15"/>
      <c r="J2" s="15"/>
      <c r="K2" s="1"/>
    </row>
    <row r="3" spans="1:11" s="2" customFormat="1" ht="12.75" x14ac:dyDescent="0.2">
      <c r="A3" s="378"/>
      <c r="B3" s="378"/>
      <c r="C3" s="378"/>
      <c r="D3" s="378"/>
      <c r="E3" s="378"/>
      <c r="F3" s="378"/>
      <c r="G3" s="378"/>
      <c r="H3" s="378"/>
      <c r="I3" s="378"/>
    </row>
    <row r="4" spans="1:11" s="3" customFormat="1" x14ac:dyDescent="0.2">
      <c r="B4" s="4"/>
      <c r="C4" s="5"/>
      <c r="D4" s="5"/>
      <c r="E4" s="5"/>
      <c r="F4" s="5"/>
      <c r="G4" s="5"/>
      <c r="H4" s="5"/>
      <c r="I4" s="5"/>
    </row>
    <row r="5" spans="1:11" s="3" customFormat="1" ht="3.6" customHeight="1" x14ac:dyDescent="0.2">
      <c r="B5" s="4"/>
      <c r="C5" s="6"/>
      <c r="D5" s="6"/>
      <c r="E5" s="6"/>
      <c r="F5" s="6"/>
      <c r="G5" s="6"/>
      <c r="H5" s="6"/>
      <c r="I5" s="6"/>
    </row>
    <row r="6" spans="1:11" x14ac:dyDescent="0.2">
      <c r="A6" s="7"/>
      <c r="B6" s="7"/>
      <c r="F6" s="4"/>
      <c r="G6" s="8"/>
    </row>
    <row r="7" spans="1:11" ht="3" customHeight="1" x14ac:dyDescent="0.2">
      <c r="A7" s="4"/>
      <c r="B7" s="4"/>
      <c r="C7" s="6"/>
      <c r="D7" s="6"/>
      <c r="E7" s="6"/>
      <c r="F7" s="4"/>
      <c r="G7" s="6"/>
      <c r="H7" s="6"/>
      <c r="I7" s="6"/>
    </row>
    <row r="8" spans="1:11" x14ac:dyDescent="0.2">
      <c r="A8" s="7"/>
      <c r="B8" s="7"/>
      <c r="F8" s="4"/>
    </row>
    <row r="9" spans="1:11" ht="3.6" customHeight="1" x14ac:dyDescent="0.2">
      <c r="A9" s="4"/>
      <c r="B9" s="4"/>
      <c r="C9" s="6"/>
      <c r="D9" s="6"/>
      <c r="E9" s="6"/>
      <c r="F9" s="4"/>
      <c r="G9" s="6"/>
      <c r="H9" s="6"/>
      <c r="I9" s="6"/>
    </row>
    <row r="10" spans="1:11" x14ac:dyDescent="0.2">
      <c r="A10" s="7"/>
      <c r="B10" s="7"/>
      <c r="C10" s="7"/>
      <c r="D10" s="7"/>
      <c r="E10" s="7"/>
      <c r="F10" s="7"/>
      <c r="G10" s="7"/>
      <c r="H10" s="7"/>
      <c r="I10" s="7"/>
      <c r="J10" s="7"/>
    </row>
    <row r="11" spans="1:11" ht="3.6" customHeight="1" x14ac:dyDescent="0.2"/>
    <row r="12" spans="1:11" x14ac:dyDescent="0.2">
      <c r="A12" s="7"/>
    </row>
    <row r="14" spans="1:11" x14ac:dyDescent="0.2">
      <c r="D14" s="3"/>
      <c r="E14" s="9"/>
    </row>
    <row r="15" spans="1:11" x14ac:dyDescent="0.2">
      <c r="E15" s="9"/>
    </row>
    <row r="16" spans="1:11" ht="3.6" customHeight="1" x14ac:dyDescent="0.2">
      <c r="E16" s="9"/>
    </row>
    <row r="17" spans="3:11" x14ac:dyDescent="0.2">
      <c r="F17" s="9"/>
    </row>
    <row r="19" spans="3:11" x14ac:dyDescent="0.2">
      <c r="D19" s="3"/>
      <c r="E19" s="9"/>
      <c r="F19" s="3"/>
      <c r="G19" s="9"/>
      <c r="H19" s="10"/>
      <c r="I19" s="10"/>
    </row>
    <row r="20" spans="3:11" x14ac:dyDescent="0.2">
      <c r="D20" s="3"/>
      <c r="E20" s="9"/>
      <c r="F20" s="3"/>
      <c r="G20" s="9"/>
      <c r="H20" s="10"/>
      <c r="I20" s="10"/>
    </row>
    <row r="24" spans="3:11" ht="12.75" x14ac:dyDescent="0.2">
      <c r="K24" s="1"/>
    </row>
    <row r="25" spans="3:11" x14ac:dyDescent="0.2">
      <c r="D25" s="3"/>
      <c r="E25" s="9"/>
      <c r="G25" s="3"/>
      <c r="H25" s="9"/>
    </row>
    <row r="26" spans="3:11" x14ac:dyDescent="0.2">
      <c r="D26" s="3"/>
      <c r="E26" s="9"/>
      <c r="G26" s="3"/>
      <c r="H26" s="9"/>
    </row>
    <row r="27" spans="3:11" ht="3" customHeight="1" x14ac:dyDescent="0.2">
      <c r="D27" s="3"/>
      <c r="E27" s="9"/>
      <c r="G27" s="3"/>
      <c r="H27" s="9"/>
    </row>
    <row r="30" spans="3:11" x14ac:dyDescent="0.2">
      <c r="C30" s="9"/>
    </row>
    <row r="32" spans="3:11" x14ac:dyDescent="0.2">
      <c r="E32" s="11"/>
    </row>
    <row r="35" spans="1:8" x14ac:dyDescent="0.2">
      <c r="D35" s="9"/>
    </row>
    <row r="37" spans="1:8" x14ac:dyDescent="0.2">
      <c r="E37" s="9"/>
    </row>
    <row r="39" spans="1:8" x14ac:dyDescent="0.2">
      <c r="E39" s="9"/>
    </row>
    <row r="40" spans="1:8" x14ac:dyDescent="0.2">
      <c r="E40" s="9"/>
    </row>
    <row r="41" spans="1:8" ht="3.6" customHeight="1" x14ac:dyDescent="0.2">
      <c r="E41" s="9"/>
    </row>
    <row r="42" spans="1:8" x14ac:dyDescent="0.2">
      <c r="E42" s="9"/>
    </row>
    <row r="43" spans="1:8" x14ac:dyDescent="0.2">
      <c r="E43" s="9"/>
    </row>
    <row r="45" spans="1:8" x14ac:dyDescent="0.2">
      <c r="A45" s="7"/>
    </row>
    <row r="47" spans="1:8" x14ac:dyDescent="0.2">
      <c r="C47" s="9"/>
      <c r="E47" s="9"/>
      <c r="H47" s="9"/>
    </row>
    <row r="48" spans="1:8" ht="3.6" customHeight="1" x14ac:dyDescent="0.2">
      <c r="A48" s="12"/>
      <c r="B48" s="12"/>
      <c r="C48" s="9"/>
      <c r="E48" s="9"/>
      <c r="H48" s="9"/>
    </row>
    <row r="49" spans="1:5" x14ac:dyDescent="0.2">
      <c r="A49" s="12"/>
      <c r="B49" s="12"/>
      <c r="C49" s="9"/>
    </row>
    <row r="60" spans="1:5" x14ac:dyDescent="0.2">
      <c r="C60" s="9"/>
    </row>
    <row r="61" spans="1:5" x14ac:dyDescent="0.2">
      <c r="C61" s="9"/>
      <c r="D61" s="3"/>
    </row>
    <row r="62" spans="1:5" x14ac:dyDescent="0.2">
      <c r="C62" s="9"/>
    </row>
    <row r="63" spans="1:5" x14ac:dyDescent="0.2">
      <c r="C63" s="9"/>
      <c r="D63" s="3"/>
      <c r="E63" s="9"/>
    </row>
    <row r="64" spans="1:5" ht="12.75" thickBot="1" x14ac:dyDescent="0.25">
      <c r="C64" s="9"/>
    </row>
    <row r="65" spans="1:11" ht="15" x14ac:dyDescent="0.25">
      <c r="A65" s="379" t="s">
        <v>91</v>
      </c>
      <c r="B65" s="379"/>
      <c r="C65" s="379"/>
      <c r="D65" s="379"/>
      <c r="E65" s="379"/>
      <c r="F65" s="379"/>
      <c r="G65" s="379"/>
      <c r="H65" s="379"/>
      <c r="I65" s="379"/>
      <c r="J65" s="379"/>
    </row>
    <row r="66" spans="1:11" ht="15" x14ac:dyDescent="0.25">
      <c r="A66" s="380" t="s">
        <v>413</v>
      </c>
      <c r="B66" s="380"/>
      <c r="C66" s="380"/>
      <c r="D66" s="380"/>
      <c r="E66" s="380"/>
      <c r="F66" s="380"/>
      <c r="G66" s="380"/>
      <c r="H66" s="380"/>
      <c r="I66" s="380"/>
      <c r="J66" s="380"/>
    </row>
    <row r="68" spans="1:11" x14ac:dyDescent="0.2">
      <c r="F68" s="13"/>
      <c r="G68" s="13"/>
      <c r="H68" s="13"/>
      <c r="I68" s="13"/>
      <c r="J68" s="13"/>
      <c r="K68" s="14"/>
    </row>
    <row r="69" spans="1:11" x14ac:dyDescent="0.2">
      <c r="F69" s="13"/>
      <c r="G69" s="13"/>
      <c r="H69" s="13"/>
      <c r="I69" s="13"/>
      <c r="J69" s="13"/>
      <c r="K69" s="14"/>
    </row>
    <row r="71" spans="1:11" x14ac:dyDescent="0.2">
      <c r="E71" s="9"/>
    </row>
    <row r="72" spans="1:11" x14ac:dyDescent="0.2">
      <c r="E72" s="9"/>
    </row>
    <row r="73" spans="1:11" x14ac:dyDescent="0.2">
      <c r="E73" s="9"/>
    </row>
    <row r="74" spans="1:11" x14ac:dyDescent="0.2">
      <c r="E74" s="9"/>
    </row>
    <row r="75" spans="1:11" x14ac:dyDescent="0.2">
      <c r="E75" s="9"/>
    </row>
    <row r="76" spans="1:11" x14ac:dyDescent="0.2">
      <c r="E76" s="9"/>
    </row>
  </sheetData>
  <sheetProtection algorithmName="SHA-512" hashValue="lXgBUp1vtCxkh2WxEZO7iU902f45xVa2YBHD+Y2iUcyQfqXri+5Tss1B76jG9hLya/ys9K3E0NruThFZdw5XNA==" saltValue="0Aeb9UDWSmtdp3A6Ty4lnw==" spinCount="100000" sheet="1" selectLockedCells="1" selectUnlockedCells="1"/>
  <mergeCells count="4">
    <mergeCell ref="A1:J1"/>
    <mergeCell ref="A3:I3"/>
    <mergeCell ref="A65:J65"/>
    <mergeCell ref="A66:J66"/>
  </mergeCells>
  <pageMargins left="0.7" right="0.7" top="0.75" bottom="0.75" header="0.3" footer="0.3"/>
  <pageSetup scale="97"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E9BED-1D3E-4940-B127-AE253D26F676}">
  <sheetPr>
    <tabColor theme="7" tint="0.79998168889431442"/>
    <pageSetUpPr fitToPage="1"/>
  </sheetPr>
  <dimension ref="A1:P79"/>
  <sheetViews>
    <sheetView view="pageBreakPreview" zoomScaleNormal="100" zoomScaleSheetLayoutView="100" workbookViewId="0">
      <selection activeCell="B9" sqref="B9"/>
    </sheetView>
  </sheetViews>
  <sheetFormatPr defaultColWidth="8.85546875" defaultRowHeight="15" x14ac:dyDescent="0.25"/>
  <cols>
    <col min="1" max="1" width="23.85546875" style="28" customWidth="1"/>
    <col min="2" max="3" width="13" style="28" customWidth="1"/>
    <col min="4" max="4" width="19.28515625" style="28" customWidth="1"/>
    <col min="5" max="5" width="17" style="28" customWidth="1"/>
    <col min="6" max="6" width="6" style="28" customWidth="1"/>
    <col min="7" max="7" width="8.85546875" style="28"/>
    <col min="8" max="8" width="17" style="139" customWidth="1"/>
    <col min="9" max="9" width="8.85546875" style="28"/>
    <col min="10" max="11" width="14" style="28" customWidth="1"/>
    <col min="12" max="12" width="2.28515625" style="28" customWidth="1"/>
    <col min="13" max="13" width="14" style="28" customWidth="1"/>
    <col min="14" max="16384" width="8.85546875" style="28"/>
  </cols>
  <sheetData>
    <row r="1" spans="1:13" x14ac:dyDescent="0.25">
      <c r="A1" s="384" t="s">
        <v>265</v>
      </c>
      <c r="B1" s="384"/>
      <c r="C1" s="384"/>
      <c r="D1" s="384"/>
      <c r="E1" s="384"/>
      <c r="F1" s="384"/>
      <c r="G1" s="63"/>
      <c r="H1" s="64"/>
      <c r="I1" s="63"/>
    </row>
    <row r="2" spans="1:13" s="70" customFormat="1" ht="12.75" x14ac:dyDescent="0.2">
      <c r="A2" s="70" t="s">
        <v>1</v>
      </c>
      <c r="B2" s="413" t="str">
        <f>'CL_1 - Project Review'!C3</f>
        <v>Project Name</v>
      </c>
      <c r="C2" s="413"/>
      <c r="D2" s="413"/>
      <c r="E2" s="303">
        <f ca="1">'CL_1 - Project Review'!G5</f>
        <v>45644</v>
      </c>
      <c r="F2" s="304" t="s">
        <v>212</v>
      </c>
      <c r="H2" s="68"/>
    </row>
    <row r="3" spans="1:13" s="262" customFormat="1" ht="12.75" x14ac:dyDescent="0.2">
      <c r="A3" s="261" t="s">
        <v>266</v>
      </c>
      <c r="B3" s="261"/>
      <c r="C3" s="261"/>
      <c r="D3" s="261"/>
      <c r="E3" s="261"/>
      <c r="F3" s="261"/>
      <c r="H3" s="305"/>
    </row>
    <row r="4" spans="1:13" s="262" customFormat="1" ht="12.75" x14ac:dyDescent="0.2">
      <c r="H4" s="305"/>
    </row>
    <row r="5" spans="1:13" x14ac:dyDescent="0.25">
      <c r="A5" s="306" t="s">
        <v>267</v>
      </c>
      <c r="B5" s="307"/>
      <c r="C5" s="307"/>
      <c r="D5" s="307"/>
      <c r="E5" s="307"/>
      <c r="F5" s="307"/>
    </row>
    <row r="6" spans="1:13" x14ac:dyDescent="0.25">
      <c r="D6" s="419" t="s">
        <v>268</v>
      </c>
      <c r="E6" s="419"/>
      <c r="F6" s="419"/>
      <c r="H6" s="416" t="s">
        <v>131</v>
      </c>
      <c r="I6" s="417"/>
      <c r="J6" s="418"/>
    </row>
    <row r="7" spans="1:13" x14ac:dyDescent="0.25">
      <c r="A7" s="42" t="s">
        <v>269</v>
      </c>
      <c r="B7" s="308">
        <f>IF(H7=0,'DE_2 - Det Wtrshed Info'!F47-'DE_1 - Design Summary'!F14,H7)</f>
        <v>3810.625</v>
      </c>
      <c r="C7" s="28" t="s">
        <v>5</v>
      </c>
      <c r="D7" s="309" t="str">
        <f>IF(H7+H8=0," ","MANUAL")</f>
        <v xml:space="preserve"> </v>
      </c>
      <c r="H7" s="310">
        <v>0</v>
      </c>
      <c r="I7" s="311" t="s">
        <v>270</v>
      </c>
      <c r="J7" s="312"/>
    </row>
    <row r="8" spans="1:13" x14ac:dyDescent="0.25">
      <c r="A8" s="42" t="s">
        <v>271</v>
      </c>
      <c r="B8" s="308">
        <f>IF(H8=0,B7*0.1,H8)</f>
        <v>381.0625</v>
      </c>
      <c r="C8" s="28" t="s">
        <v>5</v>
      </c>
      <c r="D8" s="28" t="s">
        <v>272</v>
      </c>
      <c r="H8" s="310">
        <v>0</v>
      </c>
      <c r="I8" s="311" t="s">
        <v>273</v>
      </c>
      <c r="J8" s="312"/>
    </row>
    <row r="9" spans="1:13" ht="15.75" thickBot="1" x14ac:dyDescent="0.3">
      <c r="A9" s="42" t="s">
        <v>274</v>
      </c>
      <c r="B9" s="313">
        <v>0</v>
      </c>
      <c r="C9" s="28" t="s">
        <v>5</v>
      </c>
      <c r="D9" s="420"/>
      <c r="E9" s="420"/>
      <c r="F9" s="420"/>
    </row>
    <row r="10" spans="1:13" ht="3.6" customHeight="1" x14ac:dyDescent="0.25">
      <c r="A10" s="42"/>
      <c r="B10" s="308"/>
      <c r="D10" s="314"/>
      <c r="E10" s="314"/>
      <c r="F10" s="314"/>
    </row>
    <row r="11" spans="1:13" ht="15.75" thickBot="1" x14ac:dyDescent="0.3">
      <c r="A11" s="42" t="s">
        <v>275</v>
      </c>
      <c r="B11" s="308">
        <f>B8-B9</f>
        <v>381.0625</v>
      </c>
      <c r="C11" s="28" t="s">
        <v>5</v>
      </c>
      <c r="D11" s="420" t="s">
        <v>276</v>
      </c>
      <c r="E11" s="420"/>
      <c r="F11" s="420"/>
    </row>
    <row r="13" spans="1:13" x14ac:dyDescent="0.25">
      <c r="A13" s="306" t="s">
        <v>277</v>
      </c>
      <c r="B13" s="307"/>
      <c r="C13" s="307"/>
      <c r="D13" s="307"/>
      <c r="E13" s="307"/>
      <c r="F13" s="307"/>
    </row>
    <row r="14" spans="1:13" x14ac:dyDescent="0.25">
      <c r="M14" s="16"/>
    </row>
    <row r="15" spans="1:13" ht="15.75" thickBot="1" x14ac:dyDescent="0.3">
      <c r="A15" s="306" t="s">
        <v>278</v>
      </c>
      <c r="B15" s="307"/>
      <c r="C15" s="307"/>
      <c r="D15" s="315" t="s">
        <v>279</v>
      </c>
      <c r="E15" s="316">
        <v>100</v>
      </c>
      <c r="F15" s="307"/>
    </row>
    <row r="16" spans="1:13" x14ac:dyDescent="0.25">
      <c r="A16" s="317" t="s">
        <v>280</v>
      </c>
      <c r="B16" s="317" t="s">
        <v>281</v>
      </c>
      <c r="C16" s="317" t="s">
        <v>282</v>
      </c>
      <c r="D16" s="317" t="s">
        <v>283</v>
      </c>
      <c r="E16" s="317" t="s">
        <v>284</v>
      </c>
    </row>
    <row r="17" spans="1:16" s="139" customFormat="1" x14ac:dyDescent="0.25">
      <c r="A17" s="139" t="s">
        <v>15</v>
      </c>
      <c r="B17" s="139" t="s">
        <v>15</v>
      </c>
      <c r="C17" s="139" t="s">
        <v>107</v>
      </c>
      <c r="D17" s="139" t="s">
        <v>5</v>
      </c>
      <c r="E17" s="139" t="s">
        <v>5</v>
      </c>
    </row>
    <row r="18" spans="1:16" ht="15.75" thickBot="1" x14ac:dyDescent="0.3">
      <c r="A18" s="318">
        <v>0</v>
      </c>
      <c r="B18" s="136">
        <f>E$15-A18</f>
        <v>100</v>
      </c>
      <c r="C18" s="319">
        <v>200</v>
      </c>
      <c r="D18" s="320"/>
      <c r="E18" s="320"/>
      <c r="J18" s="139"/>
      <c r="K18" s="139"/>
      <c r="L18" s="139"/>
      <c r="M18" s="139"/>
      <c r="N18" s="139"/>
      <c r="O18" s="139"/>
      <c r="P18" s="139"/>
    </row>
    <row r="19" spans="1:16" ht="15.75" thickBot="1" x14ac:dyDescent="0.3">
      <c r="A19" s="321">
        <v>1</v>
      </c>
      <c r="B19" s="136">
        <f t="shared" ref="B19:B23" si="0">E$15-A19</f>
        <v>99</v>
      </c>
      <c r="C19" s="322">
        <v>100</v>
      </c>
      <c r="D19" s="320">
        <f>IF(A19&gt;0,(C18+C19)*(B18-B19)/2,0)</f>
        <v>150</v>
      </c>
      <c r="E19" s="320">
        <f>D19+E18</f>
        <v>150</v>
      </c>
      <c r="J19" s="139"/>
      <c r="K19" s="139"/>
      <c r="L19" s="139"/>
      <c r="M19" s="139"/>
      <c r="N19" s="139"/>
      <c r="O19" s="139"/>
      <c r="P19" s="139"/>
    </row>
    <row r="20" spans="1:16" ht="15.75" thickBot="1" x14ac:dyDescent="0.3">
      <c r="A20" s="323">
        <v>2</v>
      </c>
      <c r="B20" s="136">
        <f t="shared" si="0"/>
        <v>98</v>
      </c>
      <c r="C20" s="322">
        <v>50</v>
      </c>
      <c r="D20" s="320">
        <f t="shared" ref="D20:D23" si="1">IF(A20&gt;0,(C19+C20)*(B19-B20)/2,0)</f>
        <v>75</v>
      </c>
      <c r="E20" s="320">
        <f t="shared" ref="E20:E23" si="2">D20+E19</f>
        <v>225</v>
      </c>
      <c r="J20" s="139"/>
      <c r="K20" s="139"/>
      <c r="L20" s="139"/>
      <c r="M20" s="139"/>
      <c r="N20" s="139"/>
      <c r="O20" s="139"/>
      <c r="P20" s="139"/>
    </row>
    <row r="21" spans="1:16" ht="15.75" thickBot="1" x14ac:dyDescent="0.3">
      <c r="A21" s="323">
        <v>3</v>
      </c>
      <c r="B21" s="136">
        <f t="shared" si="0"/>
        <v>97</v>
      </c>
      <c r="C21" s="322">
        <v>0</v>
      </c>
      <c r="D21" s="320">
        <f t="shared" si="1"/>
        <v>25</v>
      </c>
      <c r="E21" s="320">
        <f t="shared" si="2"/>
        <v>250</v>
      </c>
      <c r="J21" s="139"/>
      <c r="K21" s="139"/>
      <c r="L21" s="139"/>
      <c r="M21" s="139"/>
      <c r="N21" s="139"/>
      <c r="O21" s="139"/>
      <c r="P21" s="139"/>
    </row>
    <row r="22" spans="1:16" ht="15.75" thickBot="1" x14ac:dyDescent="0.3">
      <c r="A22" s="323"/>
      <c r="B22" s="136">
        <f t="shared" si="0"/>
        <v>100</v>
      </c>
      <c r="C22" s="322"/>
      <c r="D22" s="320">
        <f t="shared" si="1"/>
        <v>0</v>
      </c>
      <c r="E22" s="320">
        <f t="shared" si="2"/>
        <v>250</v>
      </c>
      <c r="J22" s="139"/>
      <c r="K22" s="139"/>
      <c r="L22" s="139"/>
      <c r="M22" s="139"/>
      <c r="N22" s="139"/>
      <c r="O22" s="139"/>
      <c r="P22" s="139"/>
    </row>
    <row r="23" spans="1:16" ht="15.75" thickBot="1" x14ac:dyDescent="0.3">
      <c r="A23" s="323"/>
      <c r="B23" s="136">
        <f t="shared" si="0"/>
        <v>100</v>
      </c>
      <c r="C23" s="322"/>
      <c r="D23" s="320">
        <f t="shared" si="1"/>
        <v>0</v>
      </c>
      <c r="E23" s="320">
        <f t="shared" si="2"/>
        <v>250</v>
      </c>
      <c r="J23" s="139"/>
      <c r="K23" s="139"/>
      <c r="L23" s="139"/>
      <c r="M23" s="139"/>
      <c r="N23" s="139"/>
      <c r="O23" s="139"/>
      <c r="P23" s="139"/>
    </row>
    <row r="24" spans="1:16" x14ac:dyDescent="0.25">
      <c r="A24" s="139"/>
    </row>
    <row r="25" spans="1:16" x14ac:dyDescent="0.25">
      <c r="A25" s="139"/>
      <c r="E25" s="42"/>
      <c r="F25" s="324"/>
    </row>
    <row r="26" spans="1:16" ht="15.75" thickBot="1" x14ac:dyDescent="0.3">
      <c r="A26" s="306" t="s">
        <v>285</v>
      </c>
      <c r="B26" s="307"/>
      <c r="C26" s="307"/>
      <c r="D26" s="315" t="s">
        <v>279</v>
      </c>
      <c r="E26" s="316">
        <v>100</v>
      </c>
      <c r="F26" s="325"/>
    </row>
    <row r="27" spans="1:16" x14ac:dyDescent="0.25">
      <c r="A27" s="317" t="s">
        <v>280</v>
      </c>
      <c r="B27" s="317" t="s">
        <v>281</v>
      </c>
      <c r="C27" s="317" t="s">
        <v>282</v>
      </c>
      <c r="D27" s="317" t="s">
        <v>283</v>
      </c>
      <c r="E27" s="317" t="s">
        <v>284</v>
      </c>
      <c r="F27" s="324"/>
      <c r="K27" s="326"/>
    </row>
    <row r="28" spans="1:16" x14ac:dyDescent="0.25">
      <c r="A28" s="139" t="s">
        <v>15</v>
      </c>
      <c r="B28" s="139" t="s">
        <v>15</v>
      </c>
      <c r="C28" s="139" t="s">
        <v>107</v>
      </c>
      <c r="D28" s="139" t="s">
        <v>5</v>
      </c>
      <c r="E28" s="139" t="s">
        <v>5</v>
      </c>
      <c r="F28" s="324"/>
      <c r="K28" s="326"/>
    </row>
    <row r="29" spans="1:16" ht="15.75" thickBot="1" x14ac:dyDescent="0.3">
      <c r="A29" s="318">
        <v>0</v>
      </c>
      <c r="B29" s="136">
        <f>E$26-A29</f>
        <v>100</v>
      </c>
      <c r="C29" s="319"/>
      <c r="D29" s="320"/>
      <c r="E29" s="320"/>
      <c r="F29" s="324"/>
      <c r="K29" s="326"/>
    </row>
    <row r="30" spans="1:16" ht="15.75" thickBot="1" x14ac:dyDescent="0.3">
      <c r="A30" s="321">
        <v>1</v>
      </c>
      <c r="B30" s="136">
        <f t="shared" ref="B30:B34" si="3">E$26-A30</f>
        <v>99</v>
      </c>
      <c r="C30" s="322"/>
      <c r="D30" s="320">
        <f>IF(A30&gt;0,(C29+C30)*(B29-B30)/2,0)</f>
        <v>0</v>
      </c>
      <c r="E30" s="320">
        <f>D30+E29</f>
        <v>0</v>
      </c>
      <c r="F30" s="324"/>
    </row>
    <row r="31" spans="1:16" ht="15.75" thickBot="1" x14ac:dyDescent="0.3">
      <c r="A31" s="323"/>
      <c r="B31" s="136">
        <f t="shared" si="3"/>
        <v>100</v>
      </c>
      <c r="C31" s="322"/>
      <c r="D31" s="320">
        <f t="shared" ref="D31:D34" si="4">IF(A31&gt;0,(C30+C31)*(B30-B31)/2,0)</f>
        <v>0</v>
      </c>
      <c r="E31" s="320">
        <f t="shared" ref="E31:E34" si="5">D31+E30</f>
        <v>0</v>
      </c>
      <c r="F31" s="324"/>
    </row>
    <row r="32" spans="1:16" ht="15.75" thickBot="1" x14ac:dyDescent="0.3">
      <c r="A32" s="323"/>
      <c r="B32" s="136">
        <f t="shared" si="3"/>
        <v>100</v>
      </c>
      <c r="C32" s="322"/>
      <c r="D32" s="320">
        <f t="shared" si="4"/>
        <v>0</v>
      </c>
      <c r="E32" s="320">
        <f t="shared" si="5"/>
        <v>0</v>
      </c>
      <c r="F32" s="324"/>
    </row>
    <row r="33" spans="1:13" ht="15.75" thickBot="1" x14ac:dyDescent="0.3">
      <c r="A33" s="323"/>
      <c r="B33" s="136">
        <f t="shared" si="3"/>
        <v>100</v>
      </c>
      <c r="C33" s="322"/>
      <c r="D33" s="320">
        <f t="shared" si="4"/>
        <v>0</v>
      </c>
      <c r="E33" s="320">
        <f t="shared" si="5"/>
        <v>0</v>
      </c>
      <c r="F33" s="324"/>
    </row>
    <row r="34" spans="1:13" ht="15.75" thickBot="1" x14ac:dyDescent="0.3">
      <c r="A34" s="323"/>
      <c r="B34" s="136">
        <f t="shared" si="3"/>
        <v>100</v>
      </c>
      <c r="C34" s="322"/>
      <c r="D34" s="320">
        <f t="shared" si="4"/>
        <v>0</v>
      </c>
      <c r="E34" s="320">
        <f t="shared" si="5"/>
        <v>0</v>
      </c>
    </row>
    <row r="36" spans="1:13" x14ac:dyDescent="0.25">
      <c r="A36" s="139"/>
      <c r="B36" s="139"/>
      <c r="J36" s="139"/>
      <c r="K36" s="139"/>
    </row>
    <row r="37" spans="1:13" ht="15.75" thickBot="1" x14ac:dyDescent="0.3">
      <c r="A37" s="306" t="s">
        <v>286</v>
      </c>
      <c r="B37" s="306"/>
      <c r="C37" s="306"/>
      <c r="D37" s="315" t="s">
        <v>279</v>
      </c>
      <c r="E37" s="316">
        <v>0</v>
      </c>
      <c r="F37" s="327"/>
      <c r="J37" s="139"/>
      <c r="K37" s="139"/>
      <c r="L37" s="139"/>
      <c r="M37" s="139"/>
    </row>
    <row r="38" spans="1:13" x14ac:dyDescent="0.25">
      <c r="A38" s="317" t="s">
        <v>280</v>
      </c>
      <c r="B38" s="317" t="s">
        <v>281</v>
      </c>
      <c r="C38" s="317" t="s">
        <v>282</v>
      </c>
      <c r="D38" s="317" t="s">
        <v>283</v>
      </c>
      <c r="E38" s="317" t="s">
        <v>284</v>
      </c>
      <c r="F38" s="139"/>
      <c r="J38" s="139"/>
      <c r="K38" s="139"/>
      <c r="L38" s="139"/>
      <c r="M38" s="139"/>
    </row>
    <row r="39" spans="1:13" x14ac:dyDescent="0.25">
      <c r="A39" s="139" t="s">
        <v>15</v>
      </c>
      <c r="B39" s="139" t="s">
        <v>15</v>
      </c>
      <c r="C39" s="139" t="s">
        <v>107</v>
      </c>
      <c r="D39" s="139" t="s">
        <v>5</v>
      </c>
      <c r="E39" s="139" t="s">
        <v>5</v>
      </c>
      <c r="F39" s="139"/>
      <c r="J39" s="139"/>
      <c r="K39" s="139"/>
      <c r="L39" s="139"/>
      <c r="M39" s="139"/>
    </row>
    <row r="40" spans="1:13" ht="15.75" thickBot="1" x14ac:dyDescent="0.3">
      <c r="A40" s="318">
        <v>0</v>
      </c>
      <c r="B40" s="136">
        <f>E$37-A40</f>
        <v>0</v>
      </c>
      <c r="C40" s="319"/>
      <c r="D40" s="320"/>
      <c r="E40" s="320"/>
      <c r="F40" s="139"/>
      <c r="J40" s="139"/>
      <c r="K40" s="139"/>
      <c r="L40" s="139"/>
      <c r="M40" s="139"/>
    </row>
    <row r="41" spans="1:13" ht="15.75" thickBot="1" x14ac:dyDescent="0.3">
      <c r="A41" s="321">
        <v>1</v>
      </c>
      <c r="B41" s="136">
        <f t="shared" ref="B41:B45" si="6">E$37-A41</f>
        <v>-1</v>
      </c>
      <c r="C41" s="322"/>
      <c r="D41" s="320">
        <f>IF(A41&gt;0,(C40+C41)*(B40-B41)/2,0)</f>
        <v>0</v>
      </c>
      <c r="E41" s="320">
        <f>D41+E40</f>
        <v>0</v>
      </c>
      <c r="F41" s="139"/>
      <c r="J41" s="139"/>
      <c r="K41" s="139"/>
      <c r="L41" s="139"/>
      <c r="M41" s="139"/>
    </row>
    <row r="42" spans="1:13" ht="15.75" thickBot="1" x14ac:dyDescent="0.3">
      <c r="A42" s="323"/>
      <c r="B42" s="136">
        <f t="shared" si="6"/>
        <v>0</v>
      </c>
      <c r="C42" s="322"/>
      <c r="D42" s="320">
        <f t="shared" ref="D42:D45" si="7">IF(A42&gt;0,(C41+C42)*(B41-B42)/2,0)</f>
        <v>0</v>
      </c>
      <c r="E42" s="320">
        <f t="shared" ref="E42:E45" si="8">D42+E41</f>
        <v>0</v>
      </c>
      <c r="F42" s="139"/>
      <c r="J42" s="139"/>
      <c r="K42" s="139"/>
      <c r="L42" s="139"/>
      <c r="M42" s="139"/>
    </row>
    <row r="43" spans="1:13" ht="15.75" thickBot="1" x14ac:dyDescent="0.3">
      <c r="A43" s="323"/>
      <c r="B43" s="136">
        <f t="shared" si="6"/>
        <v>0</v>
      </c>
      <c r="C43" s="322"/>
      <c r="D43" s="320">
        <f t="shared" si="7"/>
        <v>0</v>
      </c>
      <c r="E43" s="320">
        <f t="shared" si="8"/>
        <v>0</v>
      </c>
      <c r="F43" s="139"/>
      <c r="J43" s="139"/>
      <c r="K43" s="139"/>
      <c r="L43" s="139"/>
      <c r="M43" s="139"/>
    </row>
    <row r="44" spans="1:13" ht="15.75" thickBot="1" x14ac:dyDescent="0.3">
      <c r="A44" s="323"/>
      <c r="B44" s="136">
        <f t="shared" si="6"/>
        <v>0</v>
      </c>
      <c r="C44" s="322"/>
      <c r="D44" s="320">
        <f t="shared" si="7"/>
        <v>0</v>
      </c>
      <c r="E44" s="320">
        <f t="shared" si="8"/>
        <v>0</v>
      </c>
      <c r="F44" s="139"/>
      <c r="J44" s="139"/>
      <c r="K44" s="139"/>
      <c r="L44" s="139"/>
      <c r="M44" s="139"/>
    </row>
    <row r="45" spans="1:13" ht="15.75" thickBot="1" x14ac:dyDescent="0.3">
      <c r="A45" s="323"/>
      <c r="B45" s="136">
        <f t="shared" si="6"/>
        <v>0</v>
      </c>
      <c r="C45" s="322"/>
      <c r="D45" s="320">
        <f t="shared" si="7"/>
        <v>0</v>
      </c>
      <c r="E45" s="320">
        <f t="shared" si="8"/>
        <v>0</v>
      </c>
      <c r="F45" s="139"/>
      <c r="J45" s="139"/>
      <c r="K45" s="139"/>
      <c r="L45" s="139"/>
      <c r="M45" s="139"/>
    </row>
    <row r="46" spans="1:13" x14ac:dyDescent="0.25">
      <c r="A46" s="139"/>
      <c r="B46" s="139"/>
      <c r="C46" s="139"/>
      <c r="D46" s="328" t="str">
        <f>IF(H47=0," ","MANUAL")</f>
        <v xml:space="preserve"> </v>
      </c>
      <c r="E46" s="139"/>
      <c r="F46" s="139"/>
      <c r="H46" s="416" t="s">
        <v>131</v>
      </c>
      <c r="I46" s="417"/>
      <c r="J46" s="418"/>
      <c r="K46" s="139"/>
      <c r="L46" s="139"/>
      <c r="M46" s="139"/>
    </row>
    <row r="47" spans="1:13" x14ac:dyDescent="0.25">
      <c r="A47" s="139"/>
      <c r="B47" s="139"/>
      <c r="C47" s="42" t="s">
        <v>287</v>
      </c>
      <c r="D47" s="320">
        <f>IF(H47=0,MAX(E19:E23)+MAX(E30:E34)+MAX(E41:E45),H47)</f>
        <v>250</v>
      </c>
      <c r="E47" s="314" t="s">
        <v>5</v>
      </c>
      <c r="F47" s="139"/>
      <c r="H47" s="310">
        <v>0</v>
      </c>
      <c r="I47" s="311" t="s">
        <v>288</v>
      </c>
      <c r="J47" s="312"/>
      <c r="K47" s="139"/>
      <c r="L47" s="139"/>
      <c r="M47" s="139"/>
    </row>
    <row r="48" spans="1:13" x14ac:dyDescent="0.25">
      <c r="C48" s="42" t="s">
        <v>289</v>
      </c>
      <c r="D48" s="329">
        <f>(D47)/B11</f>
        <v>0.65606035755289482</v>
      </c>
      <c r="E48" s="314" t="s">
        <v>290</v>
      </c>
      <c r="F48" s="68" t="str">
        <f>IF(D48=0,"-",IF(D48&gt;=1,"OK","!"))</f>
        <v>!</v>
      </c>
      <c r="J48" s="139"/>
      <c r="K48" s="139"/>
      <c r="L48" s="139"/>
      <c r="M48" s="139"/>
    </row>
    <row r="49" spans="1:13" ht="15.75" thickBot="1" x14ac:dyDescent="0.3">
      <c r="E49" s="139"/>
      <c r="F49" s="139"/>
      <c r="J49" s="139"/>
      <c r="K49" s="139"/>
      <c r="L49" s="139"/>
      <c r="M49" s="139"/>
    </row>
    <row r="50" spans="1:13" x14ac:dyDescent="0.25">
      <c r="A50" s="49" t="s">
        <v>305</v>
      </c>
      <c r="B50" s="49"/>
      <c r="C50" s="49"/>
      <c r="D50" s="49"/>
      <c r="E50" s="49"/>
      <c r="F50" s="49"/>
      <c r="G50" s="17"/>
      <c r="H50" s="294"/>
      <c r="J50" s="139"/>
      <c r="K50" s="139"/>
      <c r="L50" s="139"/>
      <c r="M50" s="139"/>
    </row>
    <row r="51" spans="1:13" x14ac:dyDescent="0.25">
      <c r="A51" s="28" t="s">
        <v>316</v>
      </c>
      <c r="F51" s="42" t="str">
        <f>'CL_1 - Project Review'!I57</f>
        <v>IDALS: Issue Date: 01/12/2023</v>
      </c>
      <c r="G51" s="70"/>
      <c r="J51" s="139"/>
      <c r="K51" s="139"/>
      <c r="L51" s="139"/>
      <c r="M51" s="139"/>
    </row>
    <row r="52" spans="1:13" x14ac:dyDescent="0.25">
      <c r="A52" s="139"/>
      <c r="B52" s="139"/>
      <c r="C52" s="139"/>
      <c r="D52" s="139"/>
      <c r="E52" s="139"/>
      <c r="F52" s="139"/>
      <c r="J52" s="139"/>
      <c r="K52" s="139"/>
      <c r="L52" s="139"/>
      <c r="M52" s="139"/>
    </row>
    <row r="53" spans="1:13" x14ac:dyDescent="0.25">
      <c r="A53" s="139"/>
      <c r="B53" s="139"/>
      <c r="C53" s="139"/>
      <c r="D53" s="139"/>
      <c r="E53" s="139"/>
      <c r="F53" s="139"/>
      <c r="J53" s="139"/>
      <c r="K53" s="139"/>
      <c r="L53" s="139"/>
      <c r="M53" s="139"/>
    </row>
    <row r="54" spans="1:13" x14ac:dyDescent="0.25">
      <c r="A54" s="139"/>
      <c r="B54" s="139"/>
      <c r="C54" s="139"/>
      <c r="D54" s="136"/>
      <c r="E54" s="139"/>
      <c r="F54" s="139"/>
      <c r="J54" s="139"/>
      <c r="K54" s="139"/>
      <c r="L54" s="139"/>
      <c r="M54" s="139"/>
    </row>
    <row r="55" spans="1:13" x14ac:dyDescent="0.25">
      <c r="A55" s="139"/>
      <c r="B55" s="139"/>
      <c r="C55" s="139"/>
      <c r="D55" s="136"/>
      <c r="E55" s="139"/>
      <c r="F55" s="139"/>
      <c r="J55" s="139"/>
      <c r="K55" s="139"/>
      <c r="L55" s="139"/>
      <c r="M55" s="139"/>
    </row>
    <row r="56" spans="1:13" x14ac:dyDescent="0.25">
      <c r="A56" s="139"/>
      <c r="B56" s="139"/>
      <c r="C56" s="139"/>
      <c r="D56" s="136"/>
      <c r="E56" s="139"/>
      <c r="F56" s="139"/>
      <c r="J56" s="139"/>
      <c r="K56" s="139"/>
      <c r="L56" s="139"/>
      <c r="M56" s="139"/>
    </row>
    <row r="59" spans="1:13" x14ac:dyDescent="0.25">
      <c r="F59" s="139"/>
    </row>
    <row r="65" spans="3:4" x14ac:dyDescent="0.25">
      <c r="C65" s="139"/>
      <c r="D65" s="139"/>
    </row>
    <row r="66" spans="3:4" x14ac:dyDescent="0.25">
      <c r="C66" s="139"/>
      <c r="D66" s="139"/>
    </row>
    <row r="67" spans="3:4" x14ac:dyDescent="0.25">
      <c r="C67" s="139"/>
      <c r="D67" s="139"/>
    </row>
    <row r="68" spans="3:4" x14ac:dyDescent="0.25">
      <c r="C68" s="139"/>
      <c r="D68" s="139"/>
    </row>
    <row r="69" spans="3:4" x14ac:dyDescent="0.25">
      <c r="C69" s="139"/>
      <c r="D69" s="139"/>
    </row>
    <row r="70" spans="3:4" x14ac:dyDescent="0.25">
      <c r="C70" s="139"/>
      <c r="D70" s="139"/>
    </row>
    <row r="71" spans="3:4" x14ac:dyDescent="0.25">
      <c r="C71" s="139"/>
      <c r="D71" s="139"/>
    </row>
    <row r="72" spans="3:4" x14ac:dyDescent="0.25">
      <c r="C72" s="139"/>
      <c r="D72" s="139"/>
    </row>
    <row r="73" spans="3:4" x14ac:dyDescent="0.25">
      <c r="C73" s="139"/>
      <c r="D73" s="139"/>
    </row>
    <row r="74" spans="3:4" x14ac:dyDescent="0.25">
      <c r="C74" s="139"/>
      <c r="D74" s="139"/>
    </row>
    <row r="75" spans="3:4" x14ac:dyDescent="0.25">
      <c r="C75" s="139"/>
      <c r="D75" s="139"/>
    </row>
    <row r="76" spans="3:4" x14ac:dyDescent="0.25">
      <c r="C76" s="139"/>
      <c r="D76" s="139"/>
    </row>
    <row r="77" spans="3:4" x14ac:dyDescent="0.25">
      <c r="C77" s="139"/>
      <c r="D77" s="139"/>
    </row>
    <row r="78" spans="3:4" x14ac:dyDescent="0.25">
      <c r="C78" s="139"/>
      <c r="D78" s="139"/>
    </row>
    <row r="79" spans="3:4" x14ac:dyDescent="0.25">
      <c r="C79" s="139"/>
      <c r="D79" s="139"/>
    </row>
  </sheetData>
  <sheetProtection algorithmName="SHA-512" hashValue="9cCOdzR4s7RZZzD9UYNZdKqB1MR1lCeKNCJNZq6iFEE3ZNrfrqqIkpnGcNlOHfRcW8O8Kygo6kGgZ0NmxxhVIw==" saltValue="UanzJpPI7V+a704dxURvVw==" spinCount="100000" sheet="1" selectLockedCells="1"/>
  <mergeCells count="7">
    <mergeCell ref="H46:J46"/>
    <mergeCell ref="A1:F1"/>
    <mergeCell ref="B2:D2"/>
    <mergeCell ref="D6:F6"/>
    <mergeCell ref="H6:J6"/>
    <mergeCell ref="D9:F9"/>
    <mergeCell ref="D11:F11"/>
  </mergeCells>
  <conditionalFormatting sqref="F48">
    <cfRule type="cellIs" dxfId="5" priority="1" operator="equal">
      <formula>"!"</formula>
    </cfRule>
    <cfRule type="cellIs" dxfId="4" priority="2" operator="equal">
      <formula>"OK"</formula>
    </cfRule>
  </conditionalFormatting>
  <pageMargins left="0.7" right="0.7" top="0.75" bottom="0.75" header="0.3" footer="0.3"/>
  <pageSetup scale="92" orientation="portrait" r:id="rId1"/>
  <colBreaks count="1" manualBreakCount="1">
    <brk id="6"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52515-E37F-401B-A3E9-B82B0DABDA80}">
  <sheetPr>
    <tabColor theme="7" tint="0.79998168889431442"/>
    <pageSetUpPr fitToPage="1"/>
  </sheetPr>
  <dimension ref="A1:R47"/>
  <sheetViews>
    <sheetView view="pageBreakPreview" zoomScaleNormal="100" zoomScaleSheetLayoutView="100" workbookViewId="0">
      <selection activeCell="G5" sqref="G5"/>
    </sheetView>
  </sheetViews>
  <sheetFormatPr defaultColWidth="8.85546875" defaultRowHeight="12" x14ac:dyDescent="0.2"/>
  <cols>
    <col min="1" max="1" width="9.7109375" style="17" customWidth="1"/>
    <col min="2" max="5" width="14.7109375" style="17" customWidth="1"/>
    <col min="6" max="6" width="18.85546875" style="17" customWidth="1"/>
    <col min="7" max="7" width="14.7109375" style="17" customWidth="1"/>
    <col min="8" max="9" width="3.7109375" style="17" customWidth="1"/>
    <col min="10" max="10" width="8.85546875" style="17"/>
    <col min="11" max="11" width="14" style="17" customWidth="1"/>
    <col min="12" max="12" width="15.7109375" style="20" customWidth="1"/>
    <col min="13" max="13" width="3.42578125" style="17" customWidth="1"/>
    <col min="14" max="14" width="14" style="17" customWidth="1"/>
    <col min="15" max="16" width="8.85546875" style="17"/>
    <col min="17" max="17" width="3.5703125" style="17" customWidth="1"/>
    <col min="18" max="16384" width="8.85546875" style="17"/>
  </cols>
  <sheetData>
    <row r="1" spans="1:18" ht="12.75" x14ac:dyDescent="0.2">
      <c r="B1" s="384" t="s">
        <v>331</v>
      </c>
      <c r="C1" s="384"/>
      <c r="D1" s="384"/>
      <c r="E1" s="384"/>
      <c r="F1" s="384"/>
      <c r="G1" s="384"/>
      <c r="H1" s="63"/>
      <c r="I1" s="63"/>
      <c r="J1" s="63"/>
    </row>
    <row r="2" spans="1:18" x14ac:dyDescent="0.2">
      <c r="A2" s="17" t="s">
        <v>1</v>
      </c>
      <c r="B2" s="392" t="str">
        <f>'CL_1 - Project Review'!C3</f>
        <v>Project Name</v>
      </c>
      <c r="C2" s="392"/>
      <c r="D2" s="392"/>
      <c r="E2" s="392"/>
      <c r="F2" s="17" t="s">
        <v>0</v>
      </c>
      <c r="G2" s="50">
        <f ca="1">'CL_1 - Project Review'!G5</f>
        <v>45644</v>
      </c>
      <c r="H2" s="50"/>
    </row>
    <row r="3" spans="1:18" s="331" customFormat="1" x14ac:dyDescent="0.2">
      <c r="A3" s="330" t="s">
        <v>291</v>
      </c>
      <c r="B3" s="330"/>
      <c r="C3" s="330"/>
      <c r="D3" s="330"/>
      <c r="E3" s="330"/>
      <c r="F3" s="330"/>
      <c r="G3" s="330"/>
      <c r="K3" s="332"/>
      <c r="L3" s="333"/>
      <c r="M3" s="332"/>
    </row>
    <row r="4" spans="1:18" ht="12" customHeight="1" x14ac:dyDescent="0.2">
      <c r="K4" s="422"/>
      <c r="L4" s="422"/>
      <c r="M4" s="422"/>
    </row>
    <row r="5" spans="1:18" ht="12.75" thickBot="1" x14ac:dyDescent="0.25">
      <c r="A5" s="334" t="str">
        <f>IF(L5&gt;0,"MANUAL"," ")</f>
        <v xml:space="preserve"> </v>
      </c>
      <c r="C5" s="200"/>
      <c r="E5" s="423" t="s">
        <v>292</v>
      </c>
      <c r="F5" s="423"/>
      <c r="G5" s="335">
        <v>100</v>
      </c>
      <c r="H5" s="336" t="s">
        <v>15</v>
      </c>
      <c r="K5" s="337"/>
      <c r="L5" s="338"/>
      <c r="M5" s="337"/>
    </row>
    <row r="6" spans="1:18" x14ac:dyDescent="0.2">
      <c r="A6" s="334" t="str">
        <f t="shared" ref="A6:A7" si="0">IF(L6&gt;0,"MANUAL"," ")</f>
        <v xml:space="preserve"> </v>
      </c>
      <c r="C6" s="200"/>
      <c r="E6" s="390"/>
      <c r="F6" s="390"/>
      <c r="G6" s="339"/>
      <c r="H6" s="51"/>
      <c r="K6" s="337"/>
      <c r="L6" s="338"/>
      <c r="M6" s="337"/>
    </row>
    <row r="7" spans="1:18" x14ac:dyDescent="0.2">
      <c r="A7" s="334" t="str">
        <f t="shared" si="0"/>
        <v xml:space="preserve"> </v>
      </c>
      <c r="C7" s="200"/>
      <c r="K7" s="337"/>
      <c r="L7" s="338"/>
      <c r="M7" s="337"/>
    </row>
    <row r="9" spans="1:18" x14ac:dyDescent="0.2">
      <c r="A9" s="51" t="s">
        <v>277</v>
      </c>
      <c r="C9" s="421" t="s">
        <v>293</v>
      </c>
      <c r="D9" s="421"/>
      <c r="E9" s="421"/>
      <c r="F9" s="421"/>
      <c r="G9" s="421"/>
      <c r="H9" s="421"/>
      <c r="I9" s="421"/>
    </row>
    <row r="10" spans="1:18" x14ac:dyDescent="0.2">
      <c r="B10" s="340"/>
      <c r="C10" s="51"/>
      <c r="D10" s="51"/>
      <c r="E10" s="51"/>
      <c r="F10" s="51"/>
      <c r="G10" s="51"/>
    </row>
    <row r="11" spans="1:18" x14ac:dyDescent="0.2">
      <c r="A11" s="341" t="s">
        <v>300</v>
      </c>
      <c r="B11" s="341"/>
      <c r="C11" s="341"/>
      <c r="D11" s="341"/>
      <c r="E11" s="341"/>
      <c r="F11" s="341"/>
      <c r="G11" s="341"/>
      <c r="H11" s="342"/>
      <c r="I11" s="342"/>
    </row>
    <row r="12" spans="1:18" ht="12.75" x14ac:dyDescent="0.2">
      <c r="A12" s="340" t="s">
        <v>294</v>
      </c>
      <c r="B12" s="340" t="s">
        <v>281</v>
      </c>
      <c r="C12" s="340" t="s">
        <v>282</v>
      </c>
      <c r="D12" s="340" t="s">
        <v>295</v>
      </c>
      <c r="E12" s="340" t="s">
        <v>284</v>
      </c>
      <c r="F12" s="340"/>
      <c r="G12" s="340"/>
      <c r="R12" s="16"/>
    </row>
    <row r="13" spans="1:18" x14ac:dyDescent="0.2">
      <c r="A13" s="343" t="s">
        <v>15</v>
      </c>
      <c r="B13" s="343" t="s">
        <v>15</v>
      </c>
      <c r="C13" s="343" t="s">
        <v>107</v>
      </c>
      <c r="D13" s="343" t="s">
        <v>5</v>
      </c>
      <c r="E13" s="343" t="s">
        <v>5</v>
      </c>
    </row>
    <row r="14" spans="1:18" ht="13.5" thickBot="1" x14ac:dyDescent="0.25">
      <c r="A14" s="218">
        <v>0</v>
      </c>
      <c r="B14" s="218">
        <f>G5</f>
        <v>100</v>
      </c>
      <c r="C14" s="344">
        <f>20*100</f>
        <v>2000</v>
      </c>
      <c r="D14" s="345"/>
      <c r="E14" s="345"/>
      <c r="R14" s="16"/>
    </row>
    <row r="15" spans="1:18" ht="12.75" thickBot="1" x14ac:dyDescent="0.25">
      <c r="A15" s="346">
        <v>1</v>
      </c>
      <c r="B15" s="218">
        <f>$B$14+A15</f>
        <v>101</v>
      </c>
      <c r="C15" s="347">
        <f>32*112</f>
        <v>3584</v>
      </c>
      <c r="D15" s="345">
        <f>IF(C15&gt;0,((C14+C15)*(B15-B14)/2),"NA")</f>
        <v>2792</v>
      </c>
      <c r="E15" s="345">
        <f t="shared" ref="E15:E25" si="1">IF(D15=$J$15,"NA",(D15+E14))</f>
        <v>2792</v>
      </c>
      <c r="J15" s="348" t="s">
        <v>296</v>
      </c>
    </row>
    <row r="16" spans="1:18" ht="12.75" thickBot="1" x14ac:dyDescent="0.25">
      <c r="A16" s="349">
        <f>A15+1</f>
        <v>2</v>
      </c>
      <c r="B16" s="218">
        <f t="shared" ref="B16:B25" si="2">$B$14+A16</f>
        <v>102</v>
      </c>
      <c r="C16" s="347">
        <f>38*118</f>
        <v>4484</v>
      </c>
      <c r="D16" s="345">
        <f t="shared" ref="D16:D25" si="3">IF(C16&gt;0,((C15+C16)*(B16-B15)/2),"NA")</f>
        <v>4034</v>
      </c>
      <c r="E16" s="345">
        <f t="shared" si="1"/>
        <v>6826</v>
      </c>
    </row>
    <row r="17" spans="1:8" ht="12.75" thickBot="1" x14ac:dyDescent="0.25">
      <c r="A17" s="349">
        <f t="shared" ref="A17:A25" si="4">A16+1</f>
        <v>3</v>
      </c>
      <c r="B17" s="218">
        <f t="shared" si="2"/>
        <v>103</v>
      </c>
      <c r="C17" s="347">
        <f>44*124</f>
        <v>5456</v>
      </c>
      <c r="D17" s="345">
        <f t="shared" si="3"/>
        <v>4970</v>
      </c>
      <c r="E17" s="345">
        <f t="shared" si="1"/>
        <v>11796</v>
      </c>
    </row>
    <row r="18" spans="1:8" ht="12.75" thickBot="1" x14ac:dyDescent="0.25">
      <c r="A18" s="349">
        <f t="shared" si="4"/>
        <v>4</v>
      </c>
      <c r="B18" s="218">
        <f t="shared" si="2"/>
        <v>104</v>
      </c>
      <c r="C18" s="347">
        <f>50*130</f>
        <v>6500</v>
      </c>
      <c r="D18" s="345">
        <f t="shared" si="3"/>
        <v>5978</v>
      </c>
      <c r="E18" s="345">
        <f t="shared" si="1"/>
        <v>17774</v>
      </c>
    </row>
    <row r="19" spans="1:8" ht="12.75" thickBot="1" x14ac:dyDescent="0.25">
      <c r="A19" s="349">
        <f t="shared" si="4"/>
        <v>5</v>
      </c>
      <c r="B19" s="218">
        <f t="shared" si="2"/>
        <v>105</v>
      </c>
      <c r="C19" s="347">
        <f>56*136</f>
        <v>7616</v>
      </c>
      <c r="D19" s="345">
        <f t="shared" si="3"/>
        <v>7058</v>
      </c>
      <c r="E19" s="345">
        <f t="shared" si="1"/>
        <v>24832</v>
      </c>
    </row>
    <row r="20" spans="1:8" ht="12.75" thickBot="1" x14ac:dyDescent="0.25">
      <c r="A20" s="349">
        <f t="shared" si="4"/>
        <v>6</v>
      </c>
      <c r="B20" s="218">
        <f t="shared" si="2"/>
        <v>106</v>
      </c>
      <c r="C20" s="347"/>
      <c r="D20" s="345" t="str">
        <f t="shared" si="3"/>
        <v>NA</v>
      </c>
      <c r="E20" s="345" t="str">
        <f t="shared" si="1"/>
        <v>NA</v>
      </c>
    </row>
    <row r="21" spans="1:8" ht="12.75" thickBot="1" x14ac:dyDescent="0.25">
      <c r="A21" s="349">
        <f t="shared" si="4"/>
        <v>7</v>
      </c>
      <c r="B21" s="218">
        <f t="shared" si="2"/>
        <v>107</v>
      </c>
      <c r="C21" s="347"/>
      <c r="D21" s="345" t="str">
        <f t="shared" si="3"/>
        <v>NA</v>
      </c>
      <c r="E21" s="345" t="str">
        <f t="shared" si="1"/>
        <v>NA</v>
      </c>
    </row>
    <row r="22" spans="1:8" ht="12.75" thickBot="1" x14ac:dyDescent="0.25">
      <c r="A22" s="349">
        <f t="shared" si="4"/>
        <v>8</v>
      </c>
      <c r="B22" s="218">
        <f t="shared" si="2"/>
        <v>108</v>
      </c>
      <c r="C22" s="347"/>
      <c r="D22" s="345" t="str">
        <f t="shared" si="3"/>
        <v>NA</v>
      </c>
      <c r="E22" s="345" t="str">
        <f t="shared" si="1"/>
        <v>NA</v>
      </c>
    </row>
    <row r="23" spans="1:8" ht="12.75" thickBot="1" x14ac:dyDescent="0.25">
      <c r="A23" s="349">
        <f t="shared" si="4"/>
        <v>9</v>
      </c>
      <c r="B23" s="218">
        <f t="shared" si="2"/>
        <v>109</v>
      </c>
      <c r="C23" s="347"/>
      <c r="D23" s="345" t="str">
        <f t="shared" si="3"/>
        <v>NA</v>
      </c>
      <c r="E23" s="345" t="str">
        <f t="shared" si="1"/>
        <v>NA</v>
      </c>
    </row>
    <row r="24" spans="1:8" ht="12.75" thickBot="1" x14ac:dyDescent="0.25">
      <c r="A24" s="349">
        <f t="shared" si="4"/>
        <v>10</v>
      </c>
      <c r="B24" s="218">
        <f t="shared" si="2"/>
        <v>110</v>
      </c>
      <c r="C24" s="347"/>
      <c r="D24" s="345" t="str">
        <f t="shared" si="3"/>
        <v>NA</v>
      </c>
      <c r="E24" s="345" t="str">
        <f t="shared" si="1"/>
        <v>NA</v>
      </c>
    </row>
    <row r="25" spans="1:8" ht="12.75" thickBot="1" x14ac:dyDescent="0.25">
      <c r="A25" s="349">
        <f t="shared" si="4"/>
        <v>11</v>
      </c>
      <c r="B25" s="218">
        <f t="shared" si="2"/>
        <v>111</v>
      </c>
      <c r="C25" s="347"/>
      <c r="D25" s="345" t="str">
        <f t="shared" si="3"/>
        <v>NA</v>
      </c>
      <c r="E25" s="345" t="str">
        <f t="shared" si="1"/>
        <v>NA</v>
      </c>
    </row>
    <row r="26" spans="1:8" x14ac:dyDescent="0.2">
      <c r="A26" s="218"/>
      <c r="D26" s="20"/>
      <c r="E26" s="20"/>
    </row>
    <row r="27" spans="1:8" x14ac:dyDescent="0.2">
      <c r="A27" s="218"/>
      <c r="C27" s="342"/>
      <c r="D27" s="350" t="s">
        <v>297</v>
      </c>
      <c r="E27" s="351">
        <f>G27/43560</f>
        <v>0.5700642791551882</v>
      </c>
      <c r="F27" s="342" t="s">
        <v>298</v>
      </c>
      <c r="G27" s="259">
        <f>MAX(E15:E25)</f>
        <v>24832</v>
      </c>
      <c r="H27" s="342" t="s">
        <v>5</v>
      </c>
    </row>
    <row r="28" spans="1:8" ht="13.5" customHeight="1" x14ac:dyDescent="0.2">
      <c r="D28" s="20"/>
      <c r="E28" s="21" t="s">
        <v>299</v>
      </c>
    </row>
    <row r="29" spans="1:8" ht="13.5" customHeight="1" x14ac:dyDescent="0.2">
      <c r="D29" s="20"/>
      <c r="E29" s="21"/>
    </row>
    <row r="30" spans="1:8" ht="13.5" customHeight="1" x14ac:dyDescent="0.2">
      <c r="D30" s="20"/>
      <c r="E30" s="21"/>
    </row>
    <row r="31" spans="1:8" ht="13.5" customHeight="1" x14ac:dyDescent="0.2">
      <c r="D31" s="20"/>
      <c r="E31" s="21"/>
    </row>
    <row r="32" spans="1:8" ht="13.5" customHeight="1" x14ac:dyDescent="0.2">
      <c r="D32" s="20"/>
      <c r="E32" s="21"/>
    </row>
    <row r="33" spans="1:9" ht="13.5" customHeight="1" x14ac:dyDescent="0.2">
      <c r="D33" s="20"/>
      <c r="E33" s="21"/>
    </row>
    <row r="34" spans="1:9" ht="13.5" customHeight="1" x14ac:dyDescent="0.2">
      <c r="D34" s="20"/>
      <c r="E34" s="21"/>
    </row>
    <row r="35" spans="1:9" ht="13.5" customHeight="1" x14ac:dyDescent="0.2">
      <c r="D35" s="20"/>
      <c r="E35" s="21"/>
    </row>
    <row r="36" spans="1:9" ht="13.5" customHeight="1" x14ac:dyDescent="0.2">
      <c r="D36" s="20"/>
      <c r="E36" s="21"/>
    </row>
    <row r="37" spans="1:9" ht="13.5" customHeight="1" x14ac:dyDescent="0.2">
      <c r="D37" s="20"/>
      <c r="E37" s="21"/>
    </row>
    <row r="38" spans="1:9" ht="13.5" customHeight="1" x14ac:dyDescent="0.2">
      <c r="D38" s="20"/>
      <c r="E38" s="21"/>
    </row>
    <row r="39" spans="1:9" ht="13.5" customHeight="1" x14ac:dyDescent="0.2">
      <c r="D39" s="20"/>
      <c r="E39" s="21"/>
    </row>
    <row r="40" spans="1:9" ht="13.5" customHeight="1" x14ac:dyDescent="0.2">
      <c r="D40" s="20"/>
      <c r="E40" s="21"/>
    </row>
    <row r="41" spans="1:9" ht="13.5" customHeight="1" x14ac:dyDescent="0.2">
      <c r="D41" s="20"/>
      <c r="E41" s="21"/>
    </row>
    <row r="42" spans="1:9" ht="13.5" customHeight="1" x14ac:dyDescent="0.2">
      <c r="D42" s="20"/>
      <c r="E42" s="21"/>
    </row>
    <row r="43" spans="1:9" ht="12.75" thickBot="1" x14ac:dyDescent="0.25">
      <c r="D43" s="18"/>
      <c r="E43" s="225"/>
      <c r="G43" s="20"/>
    </row>
    <row r="44" spans="1:9" ht="15" x14ac:dyDescent="0.25">
      <c r="A44" s="49" t="s">
        <v>304</v>
      </c>
      <c r="B44" s="49"/>
      <c r="C44" s="49"/>
      <c r="D44" s="49"/>
      <c r="E44" s="49"/>
      <c r="F44" s="49"/>
      <c r="G44" s="49"/>
      <c r="H44" s="352"/>
      <c r="I44" s="49"/>
    </row>
    <row r="45" spans="1:9" ht="15" x14ac:dyDescent="0.25">
      <c r="A45" s="28" t="s">
        <v>317</v>
      </c>
      <c r="B45" s="28"/>
      <c r="C45" s="28"/>
      <c r="D45" s="28"/>
      <c r="E45" s="28"/>
      <c r="F45" s="28"/>
      <c r="G45" s="28"/>
      <c r="H45" s="28"/>
      <c r="I45" s="42" t="str">
        <f>'CL_1 - Project Review'!I57</f>
        <v>IDALS: Issue Date: 01/12/2023</v>
      </c>
    </row>
    <row r="46" spans="1:9" x14ac:dyDescent="0.2">
      <c r="D46" s="20"/>
      <c r="E46" s="20"/>
    </row>
    <row r="47" spans="1:9" x14ac:dyDescent="0.2">
      <c r="D47" s="18"/>
      <c r="E47" s="353"/>
    </row>
  </sheetData>
  <sheetProtection algorithmName="SHA-512" hashValue="dA30LUI115tdiu2ItE9Et/6cmDV3681awnaJgQMlKEL7YkhD/ipHfB/8hWRq15hn/BNkANZgjF7+UEHAYc1hvg==" saltValue="5lwA4c8P4H1FJOVyOErLdA==" spinCount="100000" sheet="1" selectLockedCells="1"/>
  <mergeCells count="6">
    <mergeCell ref="C9:I9"/>
    <mergeCell ref="B1:G1"/>
    <mergeCell ref="B2:E2"/>
    <mergeCell ref="K4:M4"/>
    <mergeCell ref="E5:F5"/>
    <mergeCell ref="E6:F6"/>
  </mergeCells>
  <conditionalFormatting sqref="G43:G45">
    <cfRule type="cellIs" dxfId="3" priority="1" operator="equal">
      <formula>"!"</formula>
    </cfRule>
    <cfRule type="cellIs" dxfId="2" priority="2" operator="equal">
      <formula>"OK"</formula>
    </cfRule>
  </conditionalFormatting>
  <pageMargins left="0.7" right="0.7" top="0.75" bottom="0.75" header="0.3" footer="0.3"/>
  <pageSetup scale="82"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F2216-F7BD-4EE1-9CAD-BD17A591E2B5}">
  <sheetPr>
    <tabColor theme="7" tint="0.79998168889431442"/>
    <pageSetUpPr fitToPage="1"/>
  </sheetPr>
  <dimension ref="A1:O43"/>
  <sheetViews>
    <sheetView view="pageBreakPreview" zoomScaleNormal="100" zoomScaleSheetLayoutView="100" workbookViewId="0">
      <selection activeCell="C15" sqref="C15"/>
    </sheetView>
  </sheetViews>
  <sheetFormatPr defaultColWidth="8.85546875" defaultRowHeight="12.75" x14ac:dyDescent="0.2"/>
  <cols>
    <col min="1" max="1" width="12.7109375" style="70" customWidth="1"/>
    <col min="2" max="2" width="10.42578125" style="70" customWidth="1"/>
    <col min="3" max="3" width="9" style="70" customWidth="1"/>
    <col min="4" max="4" width="21.7109375" style="70" customWidth="1"/>
    <col min="5" max="6" width="18" style="70" customWidth="1"/>
    <col min="7" max="7" width="9" style="70" customWidth="1"/>
    <col min="8" max="8" width="10.28515625" style="70" customWidth="1"/>
    <col min="9" max="16384" width="8.85546875" style="70"/>
  </cols>
  <sheetData>
    <row r="1" spans="1:15" x14ac:dyDescent="0.2">
      <c r="A1" s="384" t="s">
        <v>211</v>
      </c>
      <c r="B1" s="384"/>
      <c r="C1" s="384"/>
      <c r="D1" s="384"/>
      <c r="E1" s="384"/>
      <c r="F1" s="384"/>
      <c r="G1" s="384"/>
      <c r="H1" s="63"/>
      <c r="I1" s="63"/>
    </row>
    <row r="2" spans="1:15" ht="39" customHeight="1" x14ac:dyDescent="0.2">
      <c r="A2" s="424" t="s">
        <v>128</v>
      </c>
      <c r="B2" s="424"/>
      <c r="C2" s="424"/>
      <c r="D2" s="424"/>
      <c r="E2" s="424"/>
      <c r="F2" s="424"/>
      <c r="G2" s="424"/>
      <c r="H2" s="235"/>
      <c r="I2" s="63"/>
    </row>
    <row r="3" spans="1:15" x14ac:dyDescent="0.2">
      <c r="A3" s="64"/>
      <c r="B3" s="64"/>
      <c r="C3" s="64"/>
      <c r="D3" s="64"/>
      <c r="E3" s="64"/>
      <c r="F3" s="64"/>
      <c r="G3" s="64"/>
      <c r="H3" s="63"/>
      <c r="I3" s="63"/>
    </row>
    <row r="4" spans="1:15" x14ac:dyDescent="0.2">
      <c r="A4" s="70" t="s">
        <v>1</v>
      </c>
      <c r="B4" s="413" t="str">
        <f>'CL_1 - Project Review'!C3</f>
        <v>Project Name</v>
      </c>
      <c r="C4" s="413"/>
      <c r="D4" s="413"/>
      <c r="E4" s="413"/>
      <c r="F4" s="304">
        <f ca="1">'CL_1 - Project Review'!G5</f>
        <v>45644</v>
      </c>
      <c r="G4" s="70" t="s">
        <v>212</v>
      </c>
    </row>
    <row r="5" spans="1:15" x14ac:dyDescent="0.2">
      <c r="A5" s="261"/>
      <c r="B5" s="261"/>
      <c r="C5" s="261"/>
      <c r="D5" s="261"/>
      <c r="E5" s="261"/>
      <c r="F5" s="261"/>
      <c r="G5" s="354"/>
    </row>
    <row r="7" spans="1:15" x14ac:dyDescent="0.2">
      <c r="A7" s="70" t="s">
        <v>188</v>
      </c>
    </row>
    <row r="9" spans="1:15" x14ac:dyDescent="0.2">
      <c r="A9" s="70" t="s">
        <v>160</v>
      </c>
      <c r="C9" s="68">
        <f>'DE_2 - Det Wtrshed Info'!C46</f>
        <v>1</v>
      </c>
      <c r="D9" s="70" t="s">
        <v>13</v>
      </c>
      <c r="E9" s="425" t="s">
        <v>213</v>
      </c>
      <c r="F9" s="425"/>
      <c r="G9" s="425"/>
      <c r="O9" s="302"/>
    </row>
    <row r="11" spans="1:15" x14ac:dyDescent="0.2">
      <c r="A11" s="355" t="s">
        <v>214</v>
      </c>
      <c r="B11" s="355"/>
      <c r="C11" s="355"/>
      <c r="D11" s="355"/>
      <c r="E11" s="355"/>
      <c r="F11" s="355"/>
      <c r="G11" s="355"/>
    </row>
    <row r="13" spans="1:15" ht="30.6" customHeight="1" x14ac:dyDescent="0.2">
      <c r="A13" s="68" t="s">
        <v>6</v>
      </c>
      <c r="B13" s="76" t="s">
        <v>215</v>
      </c>
      <c r="C13" s="285" t="s">
        <v>216</v>
      </c>
      <c r="D13" s="286" t="s">
        <v>217</v>
      </c>
      <c r="E13" s="356" t="s">
        <v>357</v>
      </c>
      <c r="F13" s="357" t="s">
        <v>357</v>
      </c>
      <c r="G13" s="90"/>
      <c r="H13" s="287"/>
    </row>
    <row r="14" spans="1:15" x14ac:dyDescent="0.2">
      <c r="A14" s="270"/>
      <c r="B14" s="358" t="s">
        <v>3</v>
      </c>
      <c r="C14" s="359" t="s">
        <v>3</v>
      </c>
      <c r="D14" s="360" t="s">
        <v>218</v>
      </c>
      <c r="E14" s="361" t="s">
        <v>4</v>
      </c>
      <c r="F14" s="360" t="s">
        <v>219</v>
      </c>
      <c r="G14" s="90"/>
      <c r="H14" s="287"/>
    </row>
    <row r="15" spans="1:15" ht="13.5" thickBot="1" x14ac:dyDescent="0.25">
      <c r="A15" s="68" t="s">
        <v>220</v>
      </c>
      <c r="B15" s="285">
        <f>'DE_3 - Det Hydrology'!B38</f>
        <v>0.08</v>
      </c>
      <c r="C15" s="362">
        <v>0.22</v>
      </c>
      <c r="D15" s="363">
        <v>101.78</v>
      </c>
      <c r="E15" s="364">
        <v>5900</v>
      </c>
      <c r="F15" s="365">
        <f>12*E15/(C$9*43560)</f>
        <v>1.6253443526170799</v>
      </c>
      <c r="G15" s="90"/>
      <c r="H15" s="287"/>
    </row>
    <row r="16" spans="1:15" ht="13.5" thickBot="1" x14ac:dyDescent="0.25">
      <c r="A16" s="68" t="s">
        <v>52</v>
      </c>
      <c r="B16" s="285">
        <f>'DE_3 - Det Hydrology'!B39</f>
        <v>0.19</v>
      </c>
      <c r="C16" s="366">
        <v>0.26</v>
      </c>
      <c r="D16" s="367">
        <v>102.02</v>
      </c>
      <c r="E16" s="368">
        <v>6900</v>
      </c>
      <c r="F16" s="365">
        <f t="shared" ref="F16:F21" si="0">12*E16/(C$9*43560)</f>
        <v>1.9008264462809918</v>
      </c>
      <c r="G16" s="90"/>
      <c r="H16" s="287"/>
    </row>
    <row r="17" spans="1:8" ht="13.5" thickBot="1" x14ac:dyDescent="0.25">
      <c r="A17" s="68" t="s">
        <v>53</v>
      </c>
      <c r="B17" s="285">
        <f>'DE_3 - Det Hydrology'!B40</f>
        <v>0.54</v>
      </c>
      <c r="C17" s="366">
        <v>0.47</v>
      </c>
      <c r="D17" s="367">
        <v>102.3</v>
      </c>
      <c r="E17" s="368">
        <v>8300</v>
      </c>
      <c r="F17" s="365">
        <f t="shared" si="0"/>
        <v>2.2865013774104681</v>
      </c>
      <c r="G17" s="90"/>
      <c r="H17" s="287"/>
    </row>
    <row r="18" spans="1:8" ht="13.5" thickBot="1" x14ac:dyDescent="0.25">
      <c r="A18" s="68" t="s">
        <v>54</v>
      </c>
      <c r="B18" s="285">
        <f>'DE_3 - Det Hydrology'!B41</f>
        <v>0.94</v>
      </c>
      <c r="C18" s="366">
        <v>0.74</v>
      </c>
      <c r="D18" s="367">
        <v>102.52</v>
      </c>
      <c r="E18" s="368">
        <v>9400</v>
      </c>
      <c r="F18" s="365">
        <f t="shared" si="0"/>
        <v>2.5895316804407713</v>
      </c>
      <c r="G18" s="90"/>
      <c r="H18" s="287"/>
    </row>
    <row r="19" spans="1:8" ht="13.5" thickBot="1" x14ac:dyDescent="0.25">
      <c r="A19" s="68" t="s">
        <v>55</v>
      </c>
      <c r="B19" s="285">
        <f>'DE_3 - Det Hydrology'!B42</f>
        <v>1.7</v>
      </c>
      <c r="C19" s="366">
        <v>1.3</v>
      </c>
      <c r="D19" s="367">
        <v>102.85</v>
      </c>
      <c r="E19" s="368">
        <v>11000</v>
      </c>
      <c r="F19" s="365">
        <f t="shared" si="0"/>
        <v>3.0303030303030303</v>
      </c>
      <c r="G19" s="90"/>
      <c r="H19" s="287"/>
    </row>
    <row r="20" spans="1:8" ht="13.5" thickBot="1" x14ac:dyDescent="0.25">
      <c r="A20" s="68" t="s">
        <v>56</v>
      </c>
      <c r="B20" s="285">
        <f>'DE_3 - Det Hydrology'!B43</f>
        <v>2.2000000000000002</v>
      </c>
      <c r="C20" s="366">
        <v>1.7</v>
      </c>
      <c r="D20" s="367">
        <v>103.1</v>
      </c>
      <c r="E20" s="368">
        <v>12400</v>
      </c>
      <c r="F20" s="365">
        <f t="shared" si="0"/>
        <v>3.4159779614325068</v>
      </c>
    </row>
    <row r="21" spans="1:8" ht="13.5" thickBot="1" x14ac:dyDescent="0.25">
      <c r="A21" s="68" t="s">
        <v>57</v>
      </c>
      <c r="B21" s="285">
        <f>'DE_3 - Det Hydrology'!B44</f>
        <v>2.2000000000000002</v>
      </c>
      <c r="C21" s="366">
        <v>2.2000000000000002</v>
      </c>
      <c r="D21" s="367">
        <v>103.34</v>
      </c>
      <c r="E21" s="368">
        <v>13800</v>
      </c>
      <c r="F21" s="365">
        <f t="shared" si="0"/>
        <v>3.8016528925619837</v>
      </c>
    </row>
    <row r="22" spans="1:8" x14ac:dyDescent="0.2">
      <c r="D22" s="67"/>
      <c r="E22" s="90"/>
    </row>
    <row r="23" spans="1:8" x14ac:dyDescent="0.2">
      <c r="A23" s="355" t="s">
        <v>221</v>
      </c>
      <c r="B23" s="355"/>
      <c r="C23" s="355"/>
      <c r="D23" s="355"/>
      <c r="E23" s="355"/>
      <c r="F23" s="355"/>
      <c r="G23" s="355"/>
    </row>
    <row r="24" spans="1:8" ht="51" x14ac:dyDescent="0.2">
      <c r="A24" s="68" t="s">
        <v>222</v>
      </c>
      <c r="B24" s="369" t="s">
        <v>223</v>
      </c>
      <c r="C24" s="369" t="s">
        <v>224</v>
      </c>
      <c r="D24" s="369" t="s">
        <v>225</v>
      </c>
      <c r="E24" s="369" t="s">
        <v>226</v>
      </c>
      <c r="F24" s="369" t="s">
        <v>227</v>
      </c>
      <c r="G24" s="369" t="s">
        <v>228</v>
      </c>
    </row>
    <row r="25" spans="1:8" x14ac:dyDescent="0.2">
      <c r="A25" s="68"/>
      <c r="B25" s="369"/>
      <c r="C25" s="370"/>
      <c r="D25" s="369" t="s">
        <v>229</v>
      </c>
      <c r="E25" s="369"/>
      <c r="F25" s="369"/>
    </row>
    <row r="26" spans="1:8" x14ac:dyDescent="0.2">
      <c r="A26" s="68"/>
      <c r="B26" s="68"/>
      <c r="C26" s="68" t="s">
        <v>230</v>
      </c>
      <c r="D26" s="68" t="s">
        <v>230</v>
      </c>
      <c r="E26" s="68"/>
      <c r="F26" s="68"/>
    </row>
    <row r="27" spans="1:8" x14ac:dyDescent="0.2">
      <c r="A27" s="270" t="s">
        <v>231</v>
      </c>
      <c r="B27" s="270" t="s">
        <v>18</v>
      </c>
      <c r="C27" s="270" t="s">
        <v>49</v>
      </c>
      <c r="D27" s="270" t="s">
        <v>232</v>
      </c>
      <c r="E27" s="270" t="s">
        <v>4</v>
      </c>
      <c r="F27" s="270" t="s">
        <v>4</v>
      </c>
      <c r="G27" s="354"/>
    </row>
    <row r="28" spans="1:8" ht="13.5" thickBot="1" x14ac:dyDescent="0.25">
      <c r="A28" s="68" t="s">
        <v>233</v>
      </c>
      <c r="B28" s="371">
        <f>F15/'DE_3 - Det Hydrology'!B20</f>
        <v>0.60874320322737074</v>
      </c>
      <c r="C28" s="372">
        <f>761-717</f>
        <v>44</v>
      </c>
      <c r="D28" s="265">
        <f>1-C15/'DE_3 - Det Hydrology'!G20</f>
        <v>0.94358974358974357</v>
      </c>
      <c r="E28" s="294">
        <f>'DE_3 - Det Hydrology'!G38</f>
        <v>5960.9510688000009</v>
      </c>
      <c r="F28" s="294">
        <f>E15</f>
        <v>5900</v>
      </c>
      <c r="G28" s="76">
        <f>F28/E28</f>
        <v>0.98977494227070195</v>
      </c>
    </row>
    <row r="29" spans="1:8" ht="13.5" thickBot="1" x14ac:dyDescent="0.25">
      <c r="A29" s="68" t="s">
        <v>52</v>
      </c>
      <c r="B29" s="371">
        <f>F16/'DE_3 - Det Hydrology'!B21</f>
        <v>0.61715144359772456</v>
      </c>
      <c r="C29" s="373">
        <f>760-717</f>
        <v>43</v>
      </c>
      <c r="D29" s="265">
        <f>1-C16/'DE_3 - Det Hydrology'!G21</f>
        <v>0.94222222222222218</v>
      </c>
      <c r="E29" s="294">
        <f>'DE_3 - Det Hydrology'!G39</f>
        <v>6630.1448083226342</v>
      </c>
      <c r="F29" s="294">
        <f>E16</f>
        <v>6900</v>
      </c>
      <c r="G29" s="76">
        <f t="shared" ref="G29:G34" si="1">F29/E29</f>
        <v>1.0407012515531522</v>
      </c>
    </row>
    <row r="30" spans="1:8" ht="13.5" thickBot="1" x14ac:dyDescent="0.25">
      <c r="A30" s="68" t="s">
        <v>53</v>
      </c>
      <c r="B30" s="371">
        <f>F17/'DE_3 - Det Hydrology'!B22</f>
        <v>0.60013159512085779</v>
      </c>
      <c r="C30" s="373">
        <f>746-717</f>
        <v>29</v>
      </c>
      <c r="D30" s="265">
        <f>1-C17/'DE_3 - Det Hydrology'!G22</f>
        <v>0.91607142857142854</v>
      </c>
      <c r="E30" s="294">
        <f>'DE_3 - Det Hydrology'!G40</f>
        <v>7443.1552835459188</v>
      </c>
      <c r="F30" s="294">
        <f>E17</f>
        <v>8300</v>
      </c>
      <c r="G30" s="76">
        <f t="shared" si="1"/>
        <v>1.1151184791681359</v>
      </c>
    </row>
    <row r="31" spans="1:8" ht="13.5" thickBot="1" x14ac:dyDescent="0.25">
      <c r="A31" s="68" t="s">
        <v>54</v>
      </c>
      <c r="B31" s="371">
        <f>F18/'DE_3 - Det Hydrology'!B23</f>
        <v>0.58061248440376034</v>
      </c>
      <c r="C31" s="373">
        <f>735-717</f>
        <v>18</v>
      </c>
      <c r="D31" s="265">
        <f>1-C18/'DE_3 - Det Hydrology'!G23</f>
        <v>0.88787878787878793</v>
      </c>
      <c r="E31" s="294">
        <f>'DE_3 - Det Hydrology'!G41</f>
        <v>8062.3830009850581</v>
      </c>
      <c r="F31" s="294">
        <f>E18</f>
        <v>9400</v>
      </c>
      <c r="G31" s="76">
        <f t="shared" si="1"/>
        <v>1.1659083919545266</v>
      </c>
    </row>
    <row r="32" spans="1:8" ht="13.5" thickBot="1" x14ac:dyDescent="0.25">
      <c r="A32" s="68" t="s">
        <v>55</v>
      </c>
      <c r="B32" s="371">
        <f>F19/'DE_3 - Det Hydrology'!B24</f>
        <v>0.55704099821746877</v>
      </c>
      <c r="C32" s="373">
        <f>727-717</f>
        <v>10</v>
      </c>
      <c r="D32" s="265">
        <f>1-C19/'DE_3 - Det Hydrology'!G24</f>
        <v>0.83750000000000002</v>
      </c>
      <c r="E32" s="294">
        <f>'DE_3 - Det Hydrology'!G42</f>
        <v>8686.5929414062502</v>
      </c>
      <c r="F32" s="294">
        <f t="shared" ref="F32:F34" si="2">E19</f>
        <v>11000</v>
      </c>
      <c r="G32" s="76">
        <f t="shared" si="1"/>
        <v>1.2663192662760181</v>
      </c>
    </row>
    <row r="33" spans="1:9" ht="13.5" thickBot="1" x14ac:dyDescent="0.25">
      <c r="A33" s="68" t="s">
        <v>56</v>
      </c>
      <c r="B33" s="371">
        <f>F20/'DE_3 - Det Hydrology'!B25</f>
        <v>0.54568338042052822</v>
      </c>
      <c r="C33" s="373">
        <f>727-717</f>
        <v>10</v>
      </c>
      <c r="D33" s="265">
        <f>1-C20/'DE_3 - Det Hydrology'!G25</f>
        <v>0.81720430107526887</v>
      </c>
      <c r="E33" s="294">
        <f>'DE_3 - Det Hydrology'!G43</f>
        <v>9581.668372998558</v>
      </c>
      <c r="F33" s="294">
        <f t="shared" si="2"/>
        <v>12400</v>
      </c>
      <c r="G33" s="76">
        <f t="shared" si="1"/>
        <v>1.2941378805118731</v>
      </c>
    </row>
    <row r="34" spans="1:9" ht="13.5" thickBot="1" x14ac:dyDescent="0.25">
      <c r="A34" s="68" t="s">
        <v>57</v>
      </c>
      <c r="B34" s="371">
        <f>F21/'DE_3 - Det Hydrology'!B26</f>
        <v>0.5339400130002786</v>
      </c>
      <c r="C34" s="373">
        <f>726-717</f>
        <v>9</v>
      </c>
      <c r="D34" s="265">
        <f>1-C21/'DE_3 - Det Hydrology'!G26</f>
        <v>0.8</v>
      </c>
      <c r="E34" s="294">
        <f>'DE_3 - Det Hydrology'!G44</f>
        <v>11769.134400000003</v>
      </c>
      <c r="F34" s="294">
        <f t="shared" si="2"/>
        <v>13800</v>
      </c>
      <c r="G34" s="76">
        <f t="shared" si="1"/>
        <v>1.172558620793726</v>
      </c>
    </row>
    <row r="35" spans="1:9" x14ac:dyDescent="0.2">
      <c r="A35" s="374" t="s">
        <v>234</v>
      </c>
      <c r="B35" s="285"/>
      <c r="C35" s="90"/>
      <c r="D35" s="76"/>
      <c r="E35" s="88"/>
      <c r="F35" s="286"/>
      <c r="G35" s="294"/>
      <c r="H35" s="294"/>
    </row>
    <row r="36" spans="1:9" x14ac:dyDescent="0.2">
      <c r="A36" s="374"/>
      <c r="B36" s="285"/>
      <c r="C36" s="90"/>
      <c r="D36" s="76"/>
      <c r="E36" s="88"/>
      <c r="F36" s="286"/>
      <c r="G36" s="294"/>
      <c r="H36" s="294"/>
    </row>
    <row r="37" spans="1:9" x14ac:dyDescent="0.2">
      <c r="A37" s="374"/>
      <c r="B37" s="285"/>
      <c r="C37" s="90"/>
      <c r="D37" s="76"/>
      <c r="E37" s="88"/>
      <c r="F37" s="286"/>
      <c r="G37" s="294"/>
      <c r="H37" s="294"/>
    </row>
    <row r="38" spans="1:9" x14ac:dyDescent="0.2">
      <c r="A38" s="374"/>
      <c r="B38" s="285"/>
      <c r="C38" s="90"/>
      <c r="D38" s="76"/>
      <c r="E38" s="88"/>
      <c r="F38" s="286"/>
      <c r="G38" s="294"/>
      <c r="H38" s="294"/>
    </row>
    <row r="39" spans="1:9" x14ac:dyDescent="0.2">
      <c r="A39" s="374"/>
      <c r="B39" s="285"/>
      <c r="C39" s="90"/>
      <c r="D39" s="76"/>
      <c r="E39" s="88"/>
      <c r="F39" s="286"/>
      <c r="G39" s="294"/>
      <c r="H39" s="294"/>
    </row>
    <row r="40" spans="1:9" x14ac:dyDescent="0.2">
      <c r="A40" s="374"/>
      <c r="B40" s="285"/>
      <c r="C40" s="90"/>
      <c r="D40" s="76"/>
      <c r="E40" s="88"/>
      <c r="F40" s="286"/>
      <c r="G40" s="294"/>
      <c r="H40" s="294"/>
    </row>
    <row r="41" spans="1:9" ht="15.75" thickBot="1" x14ac:dyDescent="0.3">
      <c r="A41" s="139"/>
      <c r="B41" s="318"/>
      <c r="C41" s="144"/>
      <c r="D41" s="136"/>
      <c r="E41" s="375"/>
      <c r="F41" s="376"/>
      <c r="G41" s="320"/>
      <c r="H41" s="294"/>
    </row>
    <row r="42" spans="1:9" ht="15" x14ac:dyDescent="0.25">
      <c r="A42" s="49" t="s">
        <v>319</v>
      </c>
      <c r="B42" s="49"/>
      <c r="C42" s="49"/>
      <c r="D42" s="49"/>
      <c r="E42" s="49"/>
      <c r="F42" s="49"/>
      <c r="G42" s="49"/>
      <c r="H42" s="294"/>
      <c r="I42" s="17"/>
    </row>
    <row r="43" spans="1:9" ht="15" x14ac:dyDescent="0.25">
      <c r="A43" s="28" t="s">
        <v>318</v>
      </c>
      <c r="B43" s="28"/>
      <c r="C43" s="28"/>
      <c r="D43" s="28"/>
      <c r="E43" s="28"/>
      <c r="F43" s="28"/>
      <c r="G43" s="42" t="str">
        <f>'CL_1 - Project Review'!I57</f>
        <v>IDALS: Issue Date: 01/12/2023</v>
      </c>
      <c r="H43" s="17"/>
    </row>
  </sheetData>
  <sheetProtection algorithmName="SHA-512" hashValue="aDe/RrH7lw6B/gwDjFTAMR9MC3DvB/dBRPRM9UCE8NYq0f3+SQ7BEZqkaPJrCYGPnoFnDUbn2MvGIV+G4DYggQ==" saltValue="9txlBqbBP/TU5YlQ0tOzNQ==" spinCount="100000" sheet="1" selectLockedCells="1"/>
  <mergeCells count="4">
    <mergeCell ref="A1:G1"/>
    <mergeCell ref="A2:G2"/>
    <mergeCell ref="B4:E4"/>
    <mergeCell ref="E9:G9"/>
  </mergeCells>
  <conditionalFormatting sqref="G42:G43">
    <cfRule type="cellIs" dxfId="1" priority="1" operator="equal">
      <formula>"!"</formula>
    </cfRule>
    <cfRule type="cellIs" dxfId="0" priority="2" operator="equal">
      <formula>"OK"</formula>
    </cfRule>
  </conditionalFormatting>
  <pageMargins left="0.7" right="0.7" top="0.75" bottom="0.75" header="0.3" footer="0.3"/>
  <pageSetup scale="91"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1AE7F-B2CC-4709-9946-AF4B5BD43918}">
  <sheetPr>
    <tabColor theme="9" tint="0.59999389629810485"/>
    <pageSetUpPr fitToPage="1"/>
  </sheetPr>
  <dimension ref="A1:R57"/>
  <sheetViews>
    <sheetView view="pageBreakPreview" zoomScaleNormal="100" zoomScaleSheetLayoutView="100" workbookViewId="0">
      <selection activeCell="C3" sqref="C3:I3"/>
    </sheetView>
  </sheetViews>
  <sheetFormatPr defaultColWidth="8.85546875" defaultRowHeight="12" x14ac:dyDescent="0.2"/>
  <cols>
    <col min="1" max="5" width="8.85546875" style="17"/>
    <col min="6" max="8" width="27.7109375" style="17" customWidth="1"/>
    <col min="9" max="9" width="11.5703125" style="17" customWidth="1"/>
    <col min="10" max="15" width="8.85546875" style="17"/>
    <col min="16" max="16" width="8.85546875" style="17" customWidth="1"/>
    <col min="17" max="17" width="2.85546875" style="17" customWidth="1"/>
    <col min="18" max="16384" width="8.85546875" style="17"/>
  </cols>
  <sheetData>
    <row r="1" spans="1:18" ht="12.75" x14ac:dyDescent="0.2">
      <c r="A1" s="384" t="s">
        <v>359</v>
      </c>
      <c r="B1" s="384"/>
      <c r="C1" s="384"/>
      <c r="D1" s="384"/>
      <c r="E1" s="384"/>
      <c r="F1" s="384"/>
      <c r="G1" s="384"/>
      <c r="H1" s="384"/>
      <c r="I1" s="384"/>
      <c r="J1" s="16"/>
    </row>
    <row r="2" spans="1:18" ht="12.75" x14ac:dyDescent="0.2">
      <c r="A2" s="384" t="s">
        <v>96</v>
      </c>
      <c r="B2" s="384"/>
      <c r="C2" s="384"/>
      <c r="D2" s="384"/>
      <c r="E2" s="384"/>
      <c r="F2" s="384"/>
      <c r="G2" s="384"/>
      <c r="H2" s="384"/>
      <c r="I2" s="384"/>
    </row>
    <row r="3" spans="1:18" s="18" customFormat="1" ht="12.75" thickBot="1" x14ac:dyDescent="0.25">
      <c r="B3" s="19" t="s">
        <v>1</v>
      </c>
      <c r="C3" s="389" t="s">
        <v>77</v>
      </c>
      <c r="D3" s="389"/>
      <c r="E3" s="389"/>
      <c r="F3" s="389"/>
      <c r="G3" s="389"/>
      <c r="H3" s="389"/>
      <c r="I3" s="389"/>
      <c r="L3" s="20"/>
    </row>
    <row r="4" spans="1:18" s="18" customFormat="1" ht="3.6" customHeight="1" x14ac:dyDescent="0.2">
      <c r="B4" s="19"/>
      <c r="C4" s="21"/>
      <c r="D4" s="21"/>
      <c r="E4" s="21"/>
      <c r="F4" s="21"/>
      <c r="G4" s="21"/>
      <c r="H4" s="21"/>
      <c r="I4" s="21"/>
      <c r="L4" s="20"/>
    </row>
    <row r="5" spans="1:18" ht="12.75" thickBot="1" x14ac:dyDescent="0.25">
      <c r="A5" s="390" t="s">
        <v>78</v>
      </c>
      <c r="B5" s="390"/>
      <c r="C5" s="389" t="s">
        <v>79</v>
      </c>
      <c r="D5" s="389"/>
      <c r="E5" s="389"/>
      <c r="F5" s="19" t="s">
        <v>0</v>
      </c>
      <c r="G5" s="391">
        <f ca="1">TODAY()</f>
        <v>45644</v>
      </c>
      <c r="H5" s="389"/>
      <c r="I5" s="389"/>
      <c r="L5" s="20"/>
    </row>
    <row r="6" spans="1:18" ht="3" customHeight="1" x14ac:dyDescent="0.2">
      <c r="A6" s="19"/>
      <c r="B6" s="19"/>
      <c r="C6" s="21"/>
      <c r="D6" s="21"/>
      <c r="E6" s="21"/>
      <c r="F6" s="19"/>
      <c r="G6" s="21"/>
      <c r="H6" s="21"/>
      <c r="I6" s="21"/>
      <c r="L6" s="20"/>
    </row>
    <row r="7" spans="1:18" ht="12.75" thickBot="1" x14ac:dyDescent="0.25">
      <c r="A7" s="390" t="s">
        <v>80</v>
      </c>
      <c r="B7" s="390"/>
      <c r="C7" s="389" t="s">
        <v>81</v>
      </c>
      <c r="D7" s="389"/>
      <c r="E7" s="389"/>
      <c r="F7" s="19" t="s">
        <v>82</v>
      </c>
      <c r="G7" s="389" t="s">
        <v>83</v>
      </c>
      <c r="H7" s="389"/>
      <c r="I7" s="389"/>
      <c r="L7" s="20"/>
    </row>
    <row r="8" spans="1:18" x14ac:dyDescent="0.2">
      <c r="A8" s="22"/>
      <c r="B8" s="22"/>
      <c r="C8" s="22"/>
      <c r="D8" s="22"/>
      <c r="E8" s="22"/>
      <c r="F8" s="22"/>
      <c r="G8" s="22"/>
      <c r="H8" s="22"/>
    </row>
    <row r="9" spans="1:18" x14ac:dyDescent="0.2">
      <c r="A9" s="23" t="s">
        <v>97</v>
      </c>
      <c r="B9" s="23"/>
      <c r="C9" s="23"/>
      <c r="D9" s="23"/>
      <c r="E9" s="23"/>
      <c r="F9" s="24"/>
      <c r="G9" s="24"/>
      <c r="H9" s="24"/>
      <c r="I9" s="25"/>
    </row>
    <row r="10" spans="1:18" ht="12.75" x14ac:dyDescent="0.2">
      <c r="F10" s="26"/>
      <c r="G10" s="26"/>
      <c r="H10" s="26"/>
      <c r="I10" s="27"/>
      <c r="R10" s="16"/>
    </row>
    <row r="11" spans="1:18" ht="15" x14ac:dyDescent="0.25">
      <c r="A11" s="28" t="s">
        <v>98</v>
      </c>
      <c r="B11" s="28"/>
      <c r="C11" s="28"/>
      <c r="D11" s="28"/>
      <c r="E11" s="28"/>
      <c r="F11" s="29"/>
      <c r="G11" s="29"/>
      <c r="H11" s="29"/>
      <c r="I11" s="30"/>
    </row>
    <row r="12" spans="1:18" ht="15.75" thickBot="1" x14ac:dyDescent="0.3">
      <c r="A12" s="28"/>
      <c r="B12" s="28" t="s">
        <v>99</v>
      </c>
      <c r="C12" s="31"/>
      <c r="D12" s="28" t="s">
        <v>100</v>
      </c>
      <c r="E12" s="31"/>
      <c r="F12" s="32">
        <f>'DWS_Report Form'!C15</f>
        <v>1</v>
      </c>
      <c r="G12" s="33" t="s">
        <v>13</v>
      </c>
      <c r="H12" s="34">
        <f>F12*43560</f>
        <v>43560</v>
      </c>
      <c r="I12" s="35" t="s">
        <v>107</v>
      </c>
    </row>
    <row r="13" spans="1:18" ht="15" x14ac:dyDescent="0.25">
      <c r="A13" s="28"/>
      <c r="B13" s="28"/>
      <c r="C13" s="28"/>
      <c r="D13" s="28"/>
      <c r="E13" s="28"/>
      <c r="F13" s="29"/>
      <c r="G13" s="29"/>
      <c r="H13" s="29"/>
      <c r="I13" s="30"/>
    </row>
    <row r="14" spans="1:18" ht="15" x14ac:dyDescent="0.25">
      <c r="A14" s="28" t="s">
        <v>120</v>
      </c>
      <c r="B14" s="28"/>
      <c r="C14" s="28"/>
      <c r="D14" s="28"/>
      <c r="E14" s="28"/>
      <c r="F14" s="29"/>
      <c r="G14" s="29"/>
      <c r="H14" s="29"/>
      <c r="I14" s="30"/>
    </row>
    <row r="15" spans="1:18" ht="15.75" thickBot="1" x14ac:dyDescent="0.3">
      <c r="A15" s="28"/>
      <c r="B15" s="28" t="s">
        <v>99</v>
      </c>
      <c r="C15" s="31"/>
      <c r="D15" s="28" t="s">
        <v>100</v>
      </c>
      <c r="E15" s="31"/>
      <c r="F15" s="36">
        <f>'DWS_Report Form'!C16/100</f>
        <v>1</v>
      </c>
      <c r="G15" s="29"/>
      <c r="H15" s="29"/>
      <c r="I15" s="30"/>
    </row>
    <row r="16" spans="1:18" ht="15" x14ac:dyDescent="0.25">
      <c r="A16" s="28"/>
      <c r="B16" s="28"/>
      <c r="C16" s="28"/>
      <c r="D16" s="28"/>
      <c r="E16" s="28"/>
      <c r="F16" s="29"/>
      <c r="G16" s="29"/>
      <c r="H16" s="29"/>
      <c r="I16" s="30"/>
    </row>
    <row r="17" spans="1:10" ht="15" x14ac:dyDescent="0.25">
      <c r="A17" s="28" t="s">
        <v>105</v>
      </c>
      <c r="B17" s="28"/>
      <c r="C17" s="28"/>
      <c r="D17" s="28"/>
      <c r="E17" s="28"/>
      <c r="F17" s="29"/>
      <c r="G17" s="29"/>
      <c r="H17" s="29"/>
      <c r="I17" s="30"/>
    </row>
    <row r="18" spans="1:10" ht="15" x14ac:dyDescent="0.25">
      <c r="A18" s="28"/>
      <c r="B18" s="385"/>
      <c r="C18" s="386"/>
      <c r="D18" s="28"/>
      <c r="E18" s="28"/>
      <c r="F18" s="34">
        <f>'DWS_Report Form'!F17</f>
        <v>4310.625</v>
      </c>
      <c r="G18" s="33" t="s">
        <v>73</v>
      </c>
      <c r="H18" s="29"/>
      <c r="I18" s="30"/>
    </row>
    <row r="19" spans="1:10" ht="15" x14ac:dyDescent="0.25">
      <c r="A19" s="28"/>
      <c r="B19" s="28"/>
      <c r="C19" s="28"/>
      <c r="D19" s="28"/>
      <c r="E19" s="28"/>
      <c r="F19" s="29"/>
      <c r="G19" s="29"/>
      <c r="H19" s="29"/>
      <c r="I19" s="30"/>
    </row>
    <row r="20" spans="1:10" ht="15" x14ac:dyDescent="0.25">
      <c r="A20" s="28" t="s">
        <v>108</v>
      </c>
      <c r="B20" s="28"/>
      <c r="C20" s="28"/>
      <c r="D20" s="28"/>
      <c r="E20" s="28"/>
      <c r="F20" s="29"/>
      <c r="G20" s="29"/>
      <c r="H20" s="29"/>
      <c r="I20" s="30"/>
    </row>
    <row r="21" spans="1:10" ht="15" x14ac:dyDescent="0.25">
      <c r="A21" s="28"/>
      <c r="B21" s="28"/>
      <c r="C21" s="28"/>
      <c r="D21" s="28"/>
      <c r="E21" s="28"/>
      <c r="F21" s="34">
        <f>'DWS_Report Form'!C51</f>
        <v>2000</v>
      </c>
      <c r="G21" s="33" t="s">
        <v>63</v>
      </c>
      <c r="H21" s="29"/>
      <c r="I21" s="30"/>
    </row>
    <row r="22" spans="1:10" ht="15" x14ac:dyDescent="0.25">
      <c r="A22" s="28"/>
      <c r="B22" s="28"/>
      <c r="C22" s="28"/>
      <c r="D22" s="28"/>
      <c r="E22" s="28"/>
      <c r="F22" s="29"/>
      <c r="G22" s="29"/>
      <c r="H22" s="29"/>
      <c r="I22" s="30"/>
    </row>
    <row r="23" spans="1:10" ht="15" x14ac:dyDescent="0.25">
      <c r="A23" s="37" t="s">
        <v>383</v>
      </c>
      <c r="B23" s="37"/>
      <c r="C23" s="37"/>
      <c r="D23" s="37"/>
      <c r="E23" s="37"/>
      <c r="F23" s="29"/>
      <c r="G23" s="29"/>
      <c r="H23" s="29"/>
      <c r="I23" s="30"/>
    </row>
    <row r="24" spans="1:10" ht="15" x14ac:dyDescent="0.25">
      <c r="A24" s="28"/>
      <c r="B24" s="37"/>
      <c r="C24" s="38"/>
      <c r="D24" s="39"/>
      <c r="E24" s="38"/>
      <c r="F24" s="34">
        <f>'DWS_Report Form'!C46</f>
        <v>1975.703125</v>
      </c>
      <c r="G24" s="33" t="s">
        <v>63</v>
      </c>
      <c r="H24" s="29"/>
      <c r="I24" s="30"/>
    </row>
    <row r="25" spans="1:10" ht="15" x14ac:dyDescent="0.25">
      <c r="A25" s="28"/>
      <c r="B25" s="28"/>
      <c r="C25" s="28"/>
      <c r="D25" s="28"/>
      <c r="E25" s="28"/>
      <c r="F25" s="29"/>
      <c r="G25" s="29"/>
      <c r="H25" s="29"/>
      <c r="I25" s="30"/>
    </row>
    <row r="26" spans="1:10" ht="15" x14ac:dyDescent="0.25">
      <c r="A26" s="37" t="s">
        <v>384</v>
      </c>
      <c r="B26" s="37"/>
      <c r="C26" s="37"/>
      <c r="D26" s="37"/>
      <c r="E26" s="37"/>
      <c r="F26" s="29"/>
      <c r="G26" s="29"/>
      <c r="H26" s="29"/>
      <c r="I26" s="30"/>
    </row>
    <row r="27" spans="1:10" ht="15" x14ac:dyDescent="0.25">
      <c r="A27" s="37"/>
      <c r="B27" s="37"/>
      <c r="C27" s="37"/>
      <c r="D27" s="37"/>
      <c r="E27" s="40" t="s">
        <v>361</v>
      </c>
      <c r="F27" s="36">
        <f>F21/(H12*F15)</f>
        <v>4.5913682277318638E-2</v>
      </c>
      <c r="G27" s="33" t="s">
        <v>362</v>
      </c>
      <c r="H27" s="29"/>
      <c r="I27" s="30"/>
    </row>
    <row r="28" spans="1:10" ht="15" x14ac:dyDescent="0.25">
      <c r="A28" s="28"/>
      <c r="B28" s="28"/>
      <c r="C28" s="28"/>
      <c r="D28" s="28"/>
      <c r="E28" s="28"/>
      <c r="F28" s="29"/>
      <c r="G28" s="29"/>
      <c r="H28" s="29"/>
      <c r="I28" s="30"/>
    </row>
    <row r="29" spans="1:10" ht="15" x14ac:dyDescent="0.25">
      <c r="A29" s="28"/>
      <c r="B29" s="28"/>
      <c r="C29" s="28"/>
      <c r="D29" s="28"/>
      <c r="E29" s="28"/>
      <c r="F29" s="29"/>
      <c r="G29" s="29"/>
      <c r="H29" s="29"/>
      <c r="I29" s="30"/>
    </row>
    <row r="30" spans="1:10" ht="15" x14ac:dyDescent="0.25">
      <c r="A30" s="28" t="s">
        <v>109</v>
      </c>
      <c r="B30" s="28"/>
      <c r="C30" s="28"/>
      <c r="D30" s="28"/>
      <c r="E30" s="28"/>
      <c r="F30" s="29"/>
      <c r="G30" s="29"/>
      <c r="H30" s="29"/>
      <c r="I30" s="30"/>
    </row>
    <row r="31" spans="1:10" ht="15" x14ac:dyDescent="0.25">
      <c r="A31" s="28"/>
      <c r="B31" s="37"/>
      <c r="C31" s="37"/>
      <c r="D31" s="37"/>
      <c r="E31" s="37"/>
      <c r="F31" s="32">
        <f>'DWS_Report Form'!C34</f>
        <v>6</v>
      </c>
      <c r="G31" s="33" t="s">
        <v>14</v>
      </c>
      <c r="H31" s="29"/>
      <c r="I31" s="30"/>
    </row>
    <row r="32" spans="1:10" ht="15" x14ac:dyDescent="0.25">
      <c r="A32" s="28"/>
      <c r="B32" s="28"/>
      <c r="C32" s="28"/>
      <c r="D32" s="28"/>
      <c r="E32" s="28"/>
      <c r="F32" s="29"/>
      <c r="G32" s="29"/>
      <c r="H32" s="29"/>
      <c r="I32" s="30"/>
      <c r="J32" s="41"/>
    </row>
    <row r="33" spans="1:10" ht="15" x14ac:dyDescent="0.25">
      <c r="A33" s="28" t="s">
        <v>409</v>
      </c>
      <c r="B33" s="28"/>
      <c r="C33" s="28"/>
      <c r="D33" s="28"/>
      <c r="E33" s="28"/>
      <c r="F33" s="29"/>
      <c r="G33" s="29"/>
      <c r="H33" s="29"/>
      <c r="I33" s="30"/>
      <c r="J33" s="41"/>
    </row>
    <row r="34" spans="1:10" ht="15" x14ac:dyDescent="0.25">
      <c r="A34" s="28"/>
      <c r="B34" s="387"/>
      <c r="C34" s="387"/>
      <c r="D34" s="387"/>
      <c r="E34" s="387"/>
      <c r="F34" s="387"/>
      <c r="G34" s="387"/>
      <c r="H34" s="387"/>
      <c r="I34" s="387"/>
    </row>
    <row r="35" spans="1:10" ht="15.75" thickBot="1" x14ac:dyDescent="0.3">
      <c r="A35" s="28"/>
      <c r="B35" s="388"/>
      <c r="C35" s="388"/>
      <c r="D35" s="388"/>
      <c r="E35" s="388"/>
      <c r="F35" s="388"/>
      <c r="G35" s="388"/>
      <c r="H35" s="388"/>
      <c r="I35" s="388"/>
    </row>
    <row r="36" spans="1:10" ht="15" x14ac:dyDescent="0.25">
      <c r="A36" s="28"/>
      <c r="B36" s="28"/>
      <c r="C36" s="28"/>
      <c r="D36" s="28"/>
      <c r="E36" s="28"/>
      <c r="F36" s="29"/>
      <c r="G36" s="29"/>
      <c r="H36" s="29"/>
      <c r="I36" s="30"/>
    </row>
    <row r="37" spans="1:10" ht="15" x14ac:dyDescent="0.25">
      <c r="A37" s="28" t="s">
        <v>410</v>
      </c>
      <c r="B37" s="28"/>
      <c r="C37" s="28"/>
      <c r="D37" s="28"/>
      <c r="E37" s="28"/>
      <c r="F37" s="29"/>
      <c r="G37" s="29"/>
      <c r="H37" s="29"/>
      <c r="I37" s="30"/>
    </row>
    <row r="38" spans="1:10" ht="15" x14ac:dyDescent="0.25">
      <c r="A38" s="42" t="s">
        <v>101</v>
      </c>
      <c r="B38" s="382"/>
      <c r="C38" s="382"/>
      <c r="D38" s="382"/>
      <c r="E38" s="382"/>
      <c r="F38" s="382"/>
      <c r="G38" s="382"/>
      <c r="H38" s="382"/>
      <c r="I38" s="382"/>
    </row>
    <row r="39" spans="1:10" ht="15" x14ac:dyDescent="0.25">
      <c r="A39" s="42" t="s">
        <v>101</v>
      </c>
      <c r="B39" s="382"/>
      <c r="C39" s="382"/>
      <c r="D39" s="382"/>
      <c r="E39" s="382"/>
      <c r="F39" s="382"/>
      <c r="G39" s="382"/>
      <c r="H39" s="382"/>
      <c r="I39" s="382"/>
    </row>
    <row r="40" spans="1:10" ht="15" x14ac:dyDescent="0.25">
      <c r="A40" s="42" t="s">
        <v>101</v>
      </c>
      <c r="B40" s="382"/>
      <c r="C40" s="382"/>
      <c r="D40" s="382"/>
      <c r="E40" s="382"/>
      <c r="F40" s="382"/>
      <c r="G40" s="382"/>
      <c r="H40" s="382"/>
      <c r="I40" s="382"/>
    </row>
    <row r="41" spans="1:10" ht="15.75" thickBot="1" x14ac:dyDescent="0.3">
      <c r="A41" s="42" t="s">
        <v>101</v>
      </c>
      <c r="B41" s="383"/>
      <c r="C41" s="383"/>
      <c r="D41" s="383"/>
      <c r="E41" s="383"/>
      <c r="F41" s="383"/>
      <c r="G41" s="383"/>
      <c r="H41" s="383"/>
      <c r="I41" s="383"/>
    </row>
    <row r="42" spans="1:10" ht="15" x14ac:dyDescent="0.25">
      <c r="A42" s="28"/>
      <c r="B42" s="28"/>
      <c r="C42" s="28"/>
      <c r="D42" s="28"/>
      <c r="E42" s="28"/>
      <c r="F42" s="29"/>
      <c r="G42" s="29"/>
      <c r="H42" s="29"/>
      <c r="I42" s="30"/>
    </row>
    <row r="43" spans="1:10" ht="15" x14ac:dyDescent="0.25">
      <c r="A43" s="28" t="s">
        <v>411</v>
      </c>
      <c r="B43" s="28"/>
      <c r="C43" s="28"/>
      <c r="D43" s="28"/>
      <c r="E43" s="28"/>
      <c r="F43" s="29"/>
      <c r="G43" s="29"/>
      <c r="H43" s="29"/>
      <c r="I43" s="30"/>
    </row>
    <row r="44" spans="1:10" ht="15.75" thickBot="1" x14ac:dyDescent="0.3">
      <c r="A44" s="28"/>
      <c r="B44" s="28"/>
      <c r="C44" s="28"/>
      <c r="D44" s="28"/>
      <c r="E44" s="42" t="s">
        <v>110</v>
      </c>
      <c r="F44" s="43">
        <v>0.75</v>
      </c>
      <c r="G44" s="29"/>
      <c r="H44" s="29"/>
      <c r="I44" s="30"/>
    </row>
    <row r="45" spans="1:10" ht="15.75" thickBot="1" x14ac:dyDescent="0.3">
      <c r="A45" s="28"/>
      <c r="B45" s="44"/>
      <c r="C45" s="44"/>
      <c r="D45" s="44"/>
      <c r="E45" s="45" t="s">
        <v>111</v>
      </c>
      <c r="F45" s="43">
        <v>0.15</v>
      </c>
      <c r="G45" s="44"/>
      <c r="H45" s="44"/>
      <c r="I45" s="44"/>
    </row>
    <row r="46" spans="1:10" ht="15.75" thickBot="1" x14ac:dyDescent="0.3">
      <c r="A46" s="28"/>
      <c r="B46" s="44"/>
      <c r="C46" s="44"/>
      <c r="D46" s="44"/>
      <c r="E46" s="45" t="s">
        <v>112</v>
      </c>
      <c r="F46" s="43">
        <v>0.1</v>
      </c>
      <c r="G46" s="44"/>
      <c r="H46" s="44"/>
      <c r="I46" s="44"/>
    </row>
    <row r="47" spans="1:10" ht="15" x14ac:dyDescent="0.25">
      <c r="A47" s="28"/>
      <c r="B47" s="44"/>
      <c r="C47" s="44"/>
      <c r="D47" s="44"/>
      <c r="E47" s="45" t="s">
        <v>113</v>
      </c>
      <c r="F47" s="46">
        <f>SUM(F44:F46)</f>
        <v>1</v>
      </c>
      <c r="G47" s="44"/>
      <c r="H47" s="44"/>
      <c r="I47" s="44"/>
    </row>
    <row r="48" spans="1:10" ht="15" x14ac:dyDescent="0.25">
      <c r="A48" s="28"/>
      <c r="B48" s="44"/>
      <c r="C48" s="44"/>
      <c r="D48" s="44"/>
      <c r="E48" s="45"/>
      <c r="F48" s="46"/>
      <c r="G48" s="44"/>
      <c r="H48" s="44"/>
      <c r="I48" s="44"/>
    </row>
    <row r="49" spans="1:9" ht="15" x14ac:dyDescent="0.25">
      <c r="A49" s="28" t="s">
        <v>412</v>
      </c>
      <c r="B49" s="28"/>
      <c r="C49" s="28"/>
      <c r="D49" s="28"/>
      <c r="E49" s="28"/>
      <c r="F49" s="29"/>
      <c r="G49" s="29"/>
      <c r="H49" s="29"/>
      <c r="I49" s="30"/>
    </row>
    <row r="50" spans="1:9" ht="15" x14ac:dyDescent="0.25">
      <c r="A50" s="28"/>
      <c r="B50" s="28"/>
      <c r="C50" s="28"/>
      <c r="D50" s="28"/>
      <c r="E50" s="28"/>
      <c r="F50" s="36" t="s">
        <v>115</v>
      </c>
      <c r="G50" s="33" t="s">
        <v>116</v>
      </c>
      <c r="H50" s="29"/>
      <c r="I50" s="30"/>
    </row>
    <row r="51" spans="1:9" ht="15.75" thickBot="1" x14ac:dyDescent="0.3">
      <c r="A51" s="28"/>
      <c r="B51" s="28"/>
      <c r="C51" s="28"/>
      <c r="D51" s="28"/>
      <c r="E51" s="42" t="s">
        <v>110</v>
      </c>
      <c r="F51" s="47"/>
      <c r="G51" s="48"/>
      <c r="H51" s="29"/>
      <c r="I51" s="30"/>
    </row>
    <row r="52" spans="1:9" ht="15.75" thickBot="1" x14ac:dyDescent="0.3">
      <c r="A52" s="28"/>
      <c r="B52" s="44"/>
      <c r="C52" s="44"/>
      <c r="D52" s="44"/>
      <c r="E52" s="45" t="s">
        <v>111</v>
      </c>
      <c r="F52" s="47"/>
      <c r="G52" s="48"/>
      <c r="H52" s="44"/>
      <c r="I52" s="44"/>
    </row>
    <row r="53" spans="1:9" ht="15.75" thickBot="1" x14ac:dyDescent="0.3">
      <c r="A53" s="28"/>
      <c r="B53" s="44"/>
      <c r="C53" s="44"/>
      <c r="D53" s="44"/>
      <c r="E53" s="45" t="s">
        <v>112</v>
      </c>
      <c r="F53" s="47"/>
      <c r="G53" s="48"/>
      <c r="H53" s="44"/>
      <c r="I53" s="44"/>
    </row>
    <row r="54" spans="1:9" ht="15.75" thickBot="1" x14ac:dyDescent="0.3">
      <c r="A54" s="381" t="s">
        <v>114</v>
      </c>
      <c r="B54" s="381"/>
      <c r="C54" s="381"/>
      <c r="D54" s="381"/>
      <c r="E54" s="381"/>
      <c r="F54" s="47"/>
      <c r="G54" s="48"/>
      <c r="H54" s="44"/>
      <c r="I54" s="44"/>
    </row>
    <row r="55" spans="1:9" ht="12.75" thickBot="1" x14ac:dyDescent="0.25"/>
    <row r="56" spans="1:9" ht="15" x14ac:dyDescent="0.25">
      <c r="A56" s="49" t="s">
        <v>364</v>
      </c>
      <c r="B56" s="49"/>
      <c r="C56" s="49"/>
      <c r="D56" s="49"/>
      <c r="E56" s="49"/>
      <c r="F56" s="49"/>
      <c r="G56" s="49"/>
      <c r="H56" s="49"/>
      <c r="I56" s="49"/>
    </row>
    <row r="57" spans="1:9" ht="15" x14ac:dyDescent="0.25">
      <c r="A57" s="28" t="s">
        <v>95</v>
      </c>
      <c r="B57" s="28"/>
      <c r="C57" s="28"/>
      <c r="D57" s="28"/>
      <c r="E57" s="28"/>
      <c r="F57" s="28"/>
      <c r="G57" s="28"/>
      <c r="H57" s="28"/>
      <c r="I57" s="42" t="s">
        <v>414</v>
      </c>
    </row>
  </sheetData>
  <sheetProtection algorithmName="SHA-512" hashValue="JrAFgM1zwV79gDGMoTiG7u+SDJhMfRpZ1IbjUMHmFjxB3LBeKG7PCNa4O58LCcRFyqRaiYTT2IYAvuQi/RLpGw==" saltValue="wm+Lk+K68zZSB3M30beGog==" spinCount="100000" sheet="1" selectLockedCells="1"/>
  <mergeCells count="16">
    <mergeCell ref="A54:E54"/>
    <mergeCell ref="B39:I39"/>
    <mergeCell ref="B40:I40"/>
    <mergeCell ref="B41:I41"/>
    <mergeCell ref="A1:I1"/>
    <mergeCell ref="A2:I2"/>
    <mergeCell ref="B18:C18"/>
    <mergeCell ref="B34:I35"/>
    <mergeCell ref="B38:I38"/>
    <mergeCell ref="C3:I3"/>
    <mergeCell ref="A5:B5"/>
    <mergeCell ref="C5:E5"/>
    <mergeCell ref="G5:I5"/>
    <mergeCell ref="A7:B7"/>
    <mergeCell ref="C7:E7"/>
    <mergeCell ref="G7:I7"/>
  </mergeCells>
  <pageMargins left="0.7" right="0.7" top="0.75" bottom="0.75" header="0.3" footer="0.3"/>
  <pageSetup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8D32-5B14-4B34-B5FE-0AD5F857B25C}">
  <sheetPr>
    <tabColor theme="9" tint="0.59999389629810485"/>
    <pageSetUpPr fitToPage="1"/>
  </sheetPr>
  <dimension ref="A1:R68"/>
  <sheetViews>
    <sheetView view="pageBreakPreview" zoomScaleNormal="100" zoomScaleSheetLayoutView="100" workbookViewId="0">
      <selection activeCell="C9" sqref="C9"/>
    </sheetView>
  </sheetViews>
  <sheetFormatPr defaultColWidth="8.85546875" defaultRowHeight="12" x14ac:dyDescent="0.2"/>
  <cols>
    <col min="1" max="5" width="8.85546875" style="17"/>
    <col min="6" max="8" width="27.7109375" style="17" customWidth="1"/>
    <col min="9" max="9" width="11.5703125" style="17" customWidth="1"/>
    <col min="10" max="16" width="8.85546875" style="17"/>
    <col min="17" max="17" width="2.85546875" style="17" customWidth="1"/>
    <col min="18" max="16384" width="8.85546875" style="17"/>
  </cols>
  <sheetData>
    <row r="1" spans="1:18" ht="12.75" x14ac:dyDescent="0.2">
      <c r="A1" s="384" t="str">
        <f>'CL_1 - Project Review'!A1</f>
        <v>Design Review Checklist for Bioretention Cell Systems (Single With Detention Version)</v>
      </c>
      <c r="B1" s="384"/>
      <c r="C1" s="384"/>
      <c r="D1" s="384"/>
      <c r="E1" s="384"/>
      <c r="F1" s="384"/>
      <c r="G1" s="384"/>
      <c r="H1" s="384"/>
      <c r="I1" s="384"/>
      <c r="J1" s="16"/>
    </row>
    <row r="2" spans="1:18" ht="12.75" x14ac:dyDescent="0.2">
      <c r="A2" s="384" t="s">
        <v>103</v>
      </c>
      <c r="B2" s="384"/>
      <c r="C2" s="384"/>
      <c r="D2" s="384"/>
      <c r="E2" s="384"/>
      <c r="F2" s="384"/>
      <c r="G2" s="384"/>
      <c r="H2" s="384"/>
      <c r="I2" s="384"/>
    </row>
    <row r="3" spans="1:18" x14ac:dyDescent="0.2">
      <c r="A3" s="17" t="s">
        <v>1</v>
      </c>
      <c r="B3" s="392" t="str">
        <f>'CL_1 - Project Review'!C3</f>
        <v>Project Name</v>
      </c>
      <c r="C3" s="392"/>
      <c r="D3" s="392"/>
      <c r="E3" s="392"/>
      <c r="F3" s="392"/>
      <c r="G3" s="392"/>
      <c r="H3" s="18" t="s">
        <v>0</v>
      </c>
      <c r="I3" s="50">
        <f ca="1">'CL_1 - Project Review'!G5</f>
        <v>45644</v>
      </c>
    </row>
    <row r="4" spans="1:18" x14ac:dyDescent="0.2">
      <c r="A4" s="22"/>
      <c r="B4" s="22"/>
      <c r="C4" s="22"/>
      <c r="D4" s="22"/>
      <c r="E4" s="22"/>
      <c r="F4" s="22"/>
      <c r="G4" s="22"/>
      <c r="H4" s="22"/>
    </row>
    <row r="5" spans="1:18" ht="3.6" customHeight="1" x14ac:dyDescent="0.2">
      <c r="A5" s="51"/>
      <c r="B5" s="51"/>
      <c r="C5" s="51"/>
      <c r="D5" s="51"/>
      <c r="E5" s="51"/>
      <c r="F5" s="51"/>
      <c r="G5" s="51"/>
      <c r="H5" s="51"/>
    </row>
    <row r="6" spans="1:18" x14ac:dyDescent="0.2">
      <c r="A6" s="23" t="s">
        <v>97</v>
      </c>
      <c r="B6" s="23"/>
      <c r="C6" s="23"/>
      <c r="D6" s="23"/>
      <c r="E6" s="23"/>
      <c r="F6" s="24"/>
      <c r="G6" s="24"/>
      <c r="H6" s="24"/>
      <c r="I6" s="25"/>
    </row>
    <row r="7" spans="1:18" ht="12.75" x14ac:dyDescent="0.2">
      <c r="F7" s="26"/>
      <c r="G7" s="26"/>
      <c r="H7" s="26"/>
      <c r="I7" s="27"/>
      <c r="R7" s="16"/>
    </row>
    <row r="8" spans="1:18" ht="15" x14ac:dyDescent="0.25">
      <c r="A8" s="37" t="s">
        <v>385</v>
      </c>
      <c r="B8" s="52"/>
      <c r="C8" s="52"/>
      <c r="D8" s="52"/>
      <c r="E8" s="52"/>
      <c r="F8" s="26"/>
      <c r="G8" s="26"/>
      <c r="H8" s="26"/>
      <c r="I8" s="27"/>
    </row>
    <row r="9" spans="1:18" ht="15.75" thickBot="1" x14ac:dyDescent="0.3">
      <c r="B9" s="37" t="s">
        <v>99</v>
      </c>
      <c r="C9" s="31"/>
      <c r="D9" s="37" t="s">
        <v>100</v>
      </c>
      <c r="E9" s="31"/>
      <c r="F9" s="26"/>
      <c r="G9" s="26"/>
      <c r="H9" s="26"/>
      <c r="I9" s="27"/>
    </row>
    <row r="10" spans="1:18" x14ac:dyDescent="0.2">
      <c r="F10" s="26"/>
      <c r="G10" s="26"/>
      <c r="H10" s="26"/>
      <c r="I10" s="27"/>
    </row>
    <row r="11" spans="1:18" ht="15" x14ac:dyDescent="0.25">
      <c r="A11" s="28" t="s">
        <v>386</v>
      </c>
      <c r="B11" s="28"/>
      <c r="C11" s="28"/>
      <c r="D11" s="28"/>
      <c r="E11" s="28"/>
      <c r="F11" s="29"/>
      <c r="G11" s="29"/>
      <c r="H11" s="29"/>
      <c r="I11" s="30"/>
    </row>
    <row r="12" spans="1:18" ht="15" x14ac:dyDescent="0.25">
      <c r="A12" s="28"/>
      <c r="B12" s="385"/>
      <c r="C12" s="386"/>
      <c r="D12" s="37"/>
      <c r="E12" s="40" t="s">
        <v>375</v>
      </c>
      <c r="F12" s="53">
        <f>'DWS_Report Form'!C39</f>
        <v>3</v>
      </c>
      <c r="G12" s="33" t="s">
        <v>14</v>
      </c>
      <c r="H12" s="29"/>
      <c r="I12" s="30"/>
    </row>
    <row r="13" spans="1:18" ht="15.75" thickBot="1" x14ac:dyDescent="0.3">
      <c r="A13" s="28"/>
      <c r="B13" s="54"/>
      <c r="C13" s="42"/>
      <c r="D13" s="37"/>
      <c r="E13" s="40" t="s">
        <v>376</v>
      </c>
      <c r="F13" s="55">
        <f>'DWS_Report Form'!C40</f>
        <v>9</v>
      </c>
      <c r="G13" s="33" t="s">
        <v>14</v>
      </c>
      <c r="H13" s="29"/>
      <c r="I13" s="30"/>
    </row>
    <row r="14" spans="1:18" ht="15.75" thickTop="1" x14ac:dyDescent="0.25">
      <c r="A14" s="28"/>
      <c r="B14" s="54"/>
      <c r="C14" s="42"/>
      <c r="D14" s="37"/>
      <c r="E14" s="40" t="s">
        <v>377</v>
      </c>
      <c r="F14" s="53">
        <f>SUM(F12:F13)</f>
        <v>12</v>
      </c>
      <c r="G14" s="33" t="s">
        <v>14</v>
      </c>
      <c r="H14" s="29"/>
      <c r="I14" s="30"/>
    </row>
    <row r="15" spans="1:18" ht="15" x14ac:dyDescent="0.25">
      <c r="A15" s="28"/>
      <c r="B15" s="28"/>
      <c r="C15" s="28"/>
      <c r="D15" s="28"/>
      <c r="E15" s="28"/>
      <c r="F15" s="29"/>
      <c r="G15" s="29"/>
      <c r="H15" s="29"/>
      <c r="I15" s="30"/>
    </row>
    <row r="16" spans="1:18" ht="15" x14ac:dyDescent="0.25">
      <c r="A16" s="28" t="s">
        <v>387</v>
      </c>
      <c r="B16" s="28"/>
      <c r="C16" s="28"/>
      <c r="D16" s="28"/>
      <c r="E16" s="28"/>
      <c r="F16" s="29"/>
      <c r="G16" s="29"/>
      <c r="H16" s="29"/>
      <c r="I16" s="30"/>
    </row>
    <row r="17" spans="1:10" ht="15.75" thickBot="1" x14ac:dyDescent="0.3">
      <c r="A17" s="28"/>
      <c r="B17" s="383"/>
      <c r="C17" s="383"/>
      <c r="D17" s="383"/>
      <c r="E17" s="383"/>
      <c r="F17" s="383"/>
      <c r="G17" s="383"/>
      <c r="H17" s="383"/>
      <c r="I17" s="383"/>
    </row>
    <row r="18" spans="1:10" ht="15" x14ac:dyDescent="0.25">
      <c r="A18" s="28"/>
      <c r="B18" s="28"/>
      <c r="C18" s="28"/>
      <c r="D18" s="28"/>
      <c r="E18" s="28"/>
      <c r="F18" s="29"/>
      <c r="G18" s="29"/>
      <c r="H18" s="29"/>
      <c r="I18" s="30"/>
    </row>
    <row r="19" spans="1:10" ht="15" x14ac:dyDescent="0.25">
      <c r="A19" s="28" t="s">
        <v>388</v>
      </c>
      <c r="B19" s="28"/>
      <c r="C19" s="28"/>
      <c r="D19" s="28"/>
      <c r="E19" s="28"/>
      <c r="F19" s="29"/>
      <c r="G19" s="29"/>
      <c r="H19" s="29"/>
      <c r="I19" s="30"/>
      <c r="J19" s="41"/>
    </row>
    <row r="20" spans="1:10" ht="15.75" thickBot="1" x14ac:dyDescent="0.3">
      <c r="A20" s="28"/>
      <c r="B20" s="383"/>
      <c r="C20" s="383"/>
      <c r="D20" s="383"/>
      <c r="E20" s="383"/>
      <c r="F20" s="383"/>
      <c r="G20" s="383"/>
      <c r="H20" s="383"/>
      <c r="I20" s="383"/>
    </row>
    <row r="21" spans="1:10" s="52" customFormat="1" ht="15" x14ac:dyDescent="0.25">
      <c r="A21" s="37"/>
      <c r="B21" s="56"/>
      <c r="C21" s="56"/>
      <c r="D21" s="56"/>
      <c r="E21" s="56"/>
      <c r="F21" s="56"/>
      <c r="G21" s="56"/>
      <c r="H21" s="56"/>
      <c r="I21" s="56"/>
    </row>
    <row r="22" spans="1:10" ht="15" x14ac:dyDescent="0.25">
      <c r="A22" s="28" t="s">
        <v>389</v>
      </c>
      <c r="B22" s="28"/>
      <c r="C22" s="28"/>
      <c r="D22" s="28"/>
      <c r="E22" s="28"/>
      <c r="F22" s="29"/>
      <c r="G22" s="29"/>
      <c r="H22" s="29"/>
      <c r="I22" s="30"/>
    </row>
    <row r="23" spans="1:10" ht="15" x14ac:dyDescent="0.25">
      <c r="A23" s="28"/>
      <c r="B23" s="385"/>
      <c r="C23" s="386"/>
      <c r="D23" s="28"/>
      <c r="E23" s="28"/>
      <c r="F23" s="34">
        <f>'DWS_Report Form'!C56</f>
        <v>8</v>
      </c>
      <c r="G23" s="33" t="s">
        <v>14</v>
      </c>
      <c r="H23" s="29"/>
      <c r="I23" s="30"/>
    </row>
    <row r="24" spans="1:10" ht="15" x14ac:dyDescent="0.25">
      <c r="A24" s="28"/>
      <c r="B24" s="28"/>
      <c r="C24" s="28"/>
      <c r="D24" s="28"/>
      <c r="E24" s="28"/>
      <c r="F24" s="29"/>
      <c r="G24" s="29"/>
      <c r="H24" s="29"/>
      <c r="I24" s="30"/>
    </row>
    <row r="25" spans="1:10" ht="15" x14ac:dyDescent="0.25">
      <c r="A25" s="28" t="s">
        <v>390</v>
      </c>
      <c r="B25" s="28"/>
      <c r="C25" s="28"/>
      <c r="D25" s="28"/>
      <c r="E25" s="28"/>
      <c r="F25" s="29"/>
      <c r="G25" s="29"/>
      <c r="H25" s="29"/>
      <c r="I25" s="30"/>
    </row>
    <row r="26" spans="1:10" ht="15.75" thickBot="1" x14ac:dyDescent="0.3">
      <c r="A26" s="28"/>
      <c r="B26" s="28" t="s">
        <v>99</v>
      </c>
      <c r="C26" s="31"/>
      <c r="D26" s="28" t="s">
        <v>100</v>
      </c>
      <c r="E26" s="31"/>
      <c r="F26" s="393" t="s">
        <v>117</v>
      </c>
      <c r="G26" s="393"/>
      <c r="H26" s="29"/>
      <c r="I26" s="30"/>
    </row>
    <row r="27" spans="1:10" ht="15" x14ac:dyDescent="0.25">
      <c r="A27" s="28"/>
      <c r="B27" s="28"/>
      <c r="C27" s="28"/>
      <c r="D27" s="28"/>
      <c r="E27" s="28"/>
      <c r="F27" s="29"/>
      <c r="G27" s="29"/>
      <c r="H27" s="29"/>
      <c r="I27" s="30"/>
    </row>
    <row r="28" spans="1:10" ht="15" x14ac:dyDescent="0.25">
      <c r="A28" s="28" t="s">
        <v>391</v>
      </c>
      <c r="B28" s="28"/>
      <c r="C28" s="28"/>
      <c r="D28" s="28"/>
      <c r="E28" s="28"/>
      <c r="F28" s="29"/>
      <c r="G28" s="29"/>
      <c r="H28" s="57" t="s">
        <v>405</v>
      </c>
      <c r="I28" s="30"/>
    </row>
    <row r="29" spans="1:10" ht="15.75" thickBot="1" x14ac:dyDescent="0.3">
      <c r="A29" s="28"/>
      <c r="B29" s="28"/>
      <c r="C29" s="28"/>
      <c r="D29" s="28"/>
      <c r="E29" s="28"/>
      <c r="F29" s="58"/>
      <c r="G29" s="33" t="s">
        <v>15</v>
      </c>
      <c r="H29" s="57" t="s">
        <v>406</v>
      </c>
      <c r="I29" s="30"/>
    </row>
    <row r="30" spans="1:10" ht="15" x14ac:dyDescent="0.25">
      <c r="A30" s="28"/>
      <c r="B30" s="28"/>
      <c r="C30" s="28"/>
      <c r="D30" s="28"/>
      <c r="E30" s="28"/>
      <c r="F30" s="29"/>
      <c r="G30" s="29"/>
      <c r="H30" s="29"/>
      <c r="I30" s="30"/>
    </row>
    <row r="31" spans="1:10" ht="15" x14ac:dyDescent="0.25">
      <c r="A31" s="28" t="s">
        <v>392</v>
      </c>
      <c r="B31" s="28"/>
      <c r="C31" s="28"/>
      <c r="D31" s="28"/>
      <c r="E31" s="28"/>
      <c r="F31" s="29"/>
      <c r="G31" s="29"/>
      <c r="H31" s="29"/>
      <c r="I31" s="30"/>
    </row>
    <row r="32" spans="1:10" ht="15" x14ac:dyDescent="0.25">
      <c r="A32" s="28"/>
      <c r="B32" s="387"/>
      <c r="C32" s="387"/>
      <c r="D32" s="387"/>
      <c r="E32" s="387"/>
      <c r="F32" s="387"/>
      <c r="G32" s="387"/>
      <c r="H32" s="387"/>
      <c r="I32" s="387"/>
    </row>
    <row r="33" spans="1:9" ht="15.75" thickBot="1" x14ac:dyDescent="0.3">
      <c r="A33" s="28"/>
      <c r="B33" s="388"/>
      <c r="C33" s="388"/>
      <c r="D33" s="388"/>
      <c r="E33" s="388"/>
      <c r="F33" s="388"/>
      <c r="G33" s="388"/>
      <c r="H33" s="388"/>
      <c r="I33" s="388"/>
    </row>
    <row r="34" spans="1:9" s="52" customFormat="1" ht="15" x14ac:dyDescent="0.25">
      <c r="A34" s="37"/>
      <c r="B34" s="56"/>
      <c r="C34" s="56"/>
      <c r="D34" s="56"/>
      <c r="E34" s="56"/>
      <c r="F34" s="56"/>
      <c r="G34" s="56"/>
      <c r="H34" s="56"/>
      <c r="I34" s="56"/>
    </row>
    <row r="35" spans="1:9" ht="15" x14ac:dyDescent="0.25">
      <c r="A35" s="28" t="s">
        <v>393</v>
      </c>
      <c r="B35" s="28"/>
      <c r="C35" s="28"/>
      <c r="D35" s="28"/>
      <c r="E35" s="28"/>
      <c r="F35" s="29"/>
      <c r="G35" s="29"/>
      <c r="H35" s="29"/>
      <c r="I35" s="30"/>
    </row>
    <row r="36" spans="1:9" ht="15" x14ac:dyDescent="0.25">
      <c r="A36" s="28"/>
      <c r="B36" s="387"/>
      <c r="C36" s="387"/>
      <c r="D36" s="387"/>
      <c r="E36" s="387"/>
      <c r="F36" s="387"/>
      <c r="G36" s="387"/>
      <c r="H36" s="387"/>
      <c r="I36" s="387"/>
    </row>
    <row r="37" spans="1:9" ht="15.75" thickBot="1" x14ac:dyDescent="0.3">
      <c r="A37" s="28"/>
      <c r="B37" s="388"/>
      <c r="C37" s="388"/>
      <c r="D37" s="388"/>
      <c r="E37" s="388"/>
      <c r="F37" s="388"/>
      <c r="G37" s="388"/>
      <c r="H37" s="388"/>
      <c r="I37" s="388"/>
    </row>
    <row r="38" spans="1:9" s="52" customFormat="1" ht="15" x14ac:dyDescent="0.25">
      <c r="A38" s="37"/>
      <c r="B38" s="56"/>
      <c r="C38" s="56"/>
      <c r="D38" s="56"/>
      <c r="E38" s="56"/>
      <c r="F38" s="56"/>
      <c r="G38" s="56"/>
      <c r="H38" s="56"/>
      <c r="I38" s="56"/>
    </row>
    <row r="39" spans="1:9" ht="15" x14ac:dyDescent="0.25">
      <c r="A39" s="28" t="s">
        <v>394</v>
      </c>
      <c r="B39" s="28"/>
      <c r="C39" s="28"/>
      <c r="D39" s="28"/>
      <c r="E39" s="28"/>
      <c r="F39" s="29"/>
      <c r="G39" s="29"/>
      <c r="H39" s="29"/>
      <c r="I39" s="30"/>
    </row>
    <row r="40" spans="1:9" ht="15" x14ac:dyDescent="0.25">
      <c r="A40" s="28"/>
      <c r="B40" s="387"/>
      <c r="C40" s="387"/>
      <c r="D40" s="387"/>
      <c r="E40" s="387"/>
      <c r="F40" s="387"/>
      <c r="G40" s="387"/>
      <c r="H40" s="387"/>
      <c r="I40" s="387"/>
    </row>
    <row r="41" spans="1:9" ht="15.75" thickBot="1" x14ac:dyDescent="0.3">
      <c r="A41" s="28"/>
      <c r="B41" s="388"/>
      <c r="C41" s="388"/>
      <c r="D41" s="388"/>
      <c r="E41" s="388"/>
      <c r="F41" s="388"/>
      <c r="G41" s="388"/>
      <c r="H41" s="388"/>
      <c r="I41" s="388"/>
    </row>
    <row r="42" spans="1:9" s="52" customFormat="1" ht="15" x14ac:dyDescent="0.25">
      <c r="A42" s="37"/>
      <c r="B42" s="56"/>
      <c r="C42" s="56"/>
      <c r="D42" s="56"/>
      <c r="E42" s="56"/>
      <c r="F42" s="56"/>
      <c r="G42" s="56"/>
      <c r="H42" s="56"/>
      <c r="I42" s="56"/>
    </row>
    <row r="43" spans="1:9" ht="15" x14ac:dyDescent="0.25">
      <c r="A43" s="28" t="s">
        <v>395</v>
      </c>
      <c r="B43" s="28"/>
      <c r="C43" s="28"/>
      <c r="D43" s="28"/>
      <c r="E43" s="28"/>
      <c r="F43" s="29"/>
      <c r="G43" s="29"/>
      <c r="H43" s="29"/>
      <c r="I43" s="30"/>
    </row>
    <row r="44" spans="1:9" ht="15" x14ac:dyDescent="0.25">
      <c r="A44" s="28"/>
      <c r="B44" s="387"/>
      <c r="C44" s="387"/>
      <c r="D44" s="387"/>
      <c r="E44" s="387"/>
      <c r="F44" s="387"/>
      <c r="G44" s="387"/>
      <c r="H44" s="387"/>
      <c r="I44" s="387"/>
    </row>
    <row r="45" spans="1:9" ht="15.75" thickBot="1" x14ac:dyDescent="0.3">
      <c r="A45" s="28"/>
      <c r="B45" s="388"/>
      <c r="C45" s="388"/>
      <c r="D45" s="388"/>
      <c r="E45" s="388"/>
      <c r="F45" s="388"/>
      <c r="G45" s="388"/>
      <c r="H45" s="388"/>
      <c r="I45" s="388"/>
    </row>
    <row r="46" spans="1:9" ht="15" x14ac:dyDescent="0.25">
      <c r="A46" s="28"/>
      <c r="B46" s="28"/>
      <c r="C46" s="28"/>
      <c r="D46" s="28"/>
      <c r="E46" s="28"/>
      <c r="F46" s="29"/>
      <c r="G46" s="29"/>
      <c r="H46" s="29"/>
      <c r="I46" s="30"/>
    </row>
    <row r="47" spans="1:9" ht="15" x14ac:dyDescent="0.25">
      <c r="A47" s="28" t="s">
        <v>396</v>
      </c>
      <c r="B47" s="28"/>
      <c r="C47" s="28"/>
      <c r="D47" s="28"/>
      <c r="E47" s="28"/>
      <c r="F47" s="29"/>
      <c r="G47" s="29"/>
      <c r="H47" s="29"/>
      <c r="I47" s="30"/>
    </row>
    <row r="48" spans="1:9" ht="15.75" thickBot="1" x14ac:dyDescent="0.3">
      <c r="A48" s="28"/>
      <c r="B48" s="383"/>
      <c r="C48" s="383"/>
      <c r="D48" s="383"/>
      <c r="E48" s="383"/>
      <c r="F48" s="383"/>
      <c r="G48" s="383"/>
      <c r="H48" s="383"/>
      <c r="I48" s="383"/>
    </row>
    <row r="49" spans="1:10" ht="15" x14ac:dyDescent="0.25">
      <c r="A49" s="28"/>
      <c r="B49" s="28"/>
      <c r="C49" s="28"/>
      <c r="D49" s="28"/>
      <c r="E49" s="28"/>
      <c r="F49" s="29"/>
      <c r="G49" s="29"/>
      <c r="H49" s="29"/>
      <c r="I49" s="30"/>
    </row>
    <row r="50" spans="1:10" ht="15" x14ac:dyDescent="0.25">
      <c r="A50" s="28"/>
      <c r="B50" s="28"/>
      <c r="C50" s="28"/>
      <c r="D50" s="28"/>
      <c r="E50" s="28"/>
      <c r="F50" s="29"/>
      <c r="G50" s="29"/>
      <c r="H50" s="29"/>
      <c r="I50" s="30"/>
    </row>
    <row r="51" spans="1:10" ht="15" x14ac:dyDescent="0.25">
      <c r="A51" s="28" t="s">
        <v>404</v>
      </c>
      <c r="B51" s="28"/>
      <c r="C51" s="28"/>
      <c r="D51" s="28"/>
      <c r="E51" s="28"/>
      <c r="F51" s="29"/>
      <c r="G51" s="29"/>
      <c r="H51" s="29"/>
      <c r="I51" s="30"/>
    </row>
    <row r="52" spans="1:10" ht="15.75" thickBot="1" x14ac:dyDescent="0.3">
      <c r="A52" s="28"/>
      <c r="B52" s="383"/>
      <c r="C52" s="383"/>
      <c r="D52" s="383"/>
      <c r="E52" s="383"/>
      <c r="F52" s="383"/>
      <c r="G52" s="383"/>
      <c r="H52" s="383"/>
      <c r="I52" s="383"/>
    </row>
    <row r="53" spans="1:10" ht="15" x14ac:dyDescent="0.25">
      <c r="A53" s="28"/>
      <c r="B53" s="28"/>
      <c r="C53" s="28"/>
      <c r="D53" s="28"/>
      <c r="E53" s="28"/>
      <c r="F53" s="29"/>
      <c r="G53" s="29"/>
      <c r="H53" s="29"/>
      <c r="I53" s="30"/>
    </row>
    <row r="54" spans="1:10" ht="13.5" customHeight="1" x14ac:dyDescent="0.25">
      <c r="A54" s="394" t="s">
        <v>397</v>
      </c>
      <c r="B54" s="394"/>
      <c r="C54" s="394"/>
      <c r="D54" s="394"/>
      <c r="E54" s="394"/>
      <c r="F54" s="394"/>
      <c r="G54" s="394"/>
      <c r="H54" s="394"/>
      <c r="I54" s="394"/>
    </row>
    <row r="55" spans="1:10" ht="15" x14ac:dyDescent="0.25">
      <c r="A55" s="28"/>
      <c r="B55" s="387"/>
      <c r="C55" s="387"/>
      <c r="D55" s="387"/>
      <c r="E55" s="387"/>
      <c r="F55" s="387"/>
      <c r="G55" s="387"/>
      <c r="H55" s="387"/>
      <c r="I55" s="387"/>
    </row>
    <row r="56" spans="1:10" ht="15.75" thickBot="1" x14ac:dyDescent="0.3">
      <c r="A56" s="28"/>
      <c r="B56" s="388"/>
      <c r="C56" s="388"/>
      <c r="D56" s="388"/>
      <c r="E56" s="388"/>
      <c r="F56" s="388"/>
      <c r="G56" s="388"/>
      <c r="H56" s="388"/>
      <c r="I56" s="388"/>
    </row>
    <row r="57" spans="1:10" ht="15" x14ac:dyDescent="0.25">
      <c r="A57" s="28"/>
      <c r="B57" s="28"/>
      <c r="C57" s="28"/>
      <c r="D57" s="28"/>
      <c r="E57" s="28"/>
      <c r="F57" s="29"/>
      <c r="G57" s="29"/>
      <c r="H57" s="29"/>
      <c r="I57" s="30"/>
    </row>
    <row r="58" spans="1:10" ht="15" x14ac:dyDescent="0.25">
      <c r="A58" s="28" t="s">
        <v>398</v>
      </c>
      <c r="B58" s="28"/>
      <c r="C58" s="28"/>
      <c r="D58" s="28"/>
      <c r="E58" s="28"/>
      <c r="F58" s="29"/>
      <c r="G58" s="29"/>
      <c r="H58" s="29"/>
      <c r="I58" s="30"/>
    </row>
    <row r="59" spans="1:10" ht="15.75" thickBot="1" x14ac:dyDescent="0.3">
      <c r="A59" s="28"/>
      <c r="B59" s="383"/>
      <c r="C59" s="383"/>
      <c r="D59" s="383"/>
      <c r="E59" s="383"/>
      <c r="F59" s="383"/>
      <c r="G59" s="383"/>
      <c r="H59" s="383"/>
      <c r="I59" s="383"/>
    </row>
    <row r="60" spans="1:10" ht="15" x14ac:dyDescent="0.25">
      <c r="A60" s="28"/>
      <c r="B60" s="28"/>
      <c r="C60" s="28"/>
      <c r="D60" s="28"/>
      <c r="E60" s="28"/>
      <c r="F60" s="29"/>
      <c r="G60" s="29"/>
      <c r="H60" s="29"/>
      <c r="I60" s="30"/>
    </row>
    <row r="61" spans="1:10" ht="15" x14ac:dyDescent="0.25">
      <c r="A61" s="28" t="s">
        <v>399</v>
      </c>
      <c r="B61" s="28"/>
      <c r="C61" s="28"/>
      <c r="D61" s="28"/>
      <c r="E61" s="28"/>
      <c r="F61" s="29"/>
      <c r="G61" s="29"/>
      <c r="H61" s="29"/>
      <c r="I61" s="30"/>
    </row>
    <row r="62" spans="1:10" ht="15.75" thickBot="1" x14ac:dyDescent="0.3">
      <c r="A62" s="28"/>
      <c r="B62" s="383"/>
      <c r="C62" s="383"/>
      <c r="D62" s="383"/>
      <c r="E62" s="383"/>
      <c r="F62" s="383"/>
      <c r="G62" s="383"/>
      <c r="H62" s="383"/>
      <c r="I62" s="383"/>
    </row>
    <row r="63" spans="1:10" ht="15" x14ac:dyDescent="0.25">
      <c r="A63" s="28"/>
      <c r="B63" s="28"/>
      <c r="C63" s="28"/>
      <c r="D63" s="28"/>
      <c r="E63" s="28"/>
      <c r="F63" s="29"/>
      <c r="G63" s="29"/>
      <c r="H63" s="29"/>
      <c r="I63" s="30"/>
    </row>
    <row r="64" spans="1:10" ht="15" x14ac:dyDescent="0.25">
      <c r="A64" s="28" t="s">
        <v>400</v>
      </c>
      <c r="B64" s="28"/>
      <c r="C64" s="28"/>
      <c r="D64" s="28"/>
      <c r="E64" s="28"/>
      <c r="F64" s="28"/>
      <c r="G64" s="28"/>
      <c r="H64" s="28"/>
      <c r="I64" s="28"/>
      <c r="J64" s="59"/>
    </row>
    <row r="65" spans="1:9" ht="15.75" thickBot="1" x14ac:dyDescent="0.3">
      <c r="A65" s="28"/>
      <c r="B65" s="28" t="s">
        <v>99</v>
      </c>
      <c r="C65" s="31"/>
      <c r="D65" s="28" t="s">
        <v>100</v>
      </c>
      <c r="E65" s="31"/>
      <c r="F65" s="60" t="s">
        <v>118</v>
      </c>
      <c r="G65" s="31"/>
      <c r="H65" s="61"/>
      <c r="I65" s="61"/>
    </row>
    <row r="66" spans="1:9" ht="12.75" thickBot="1" x14ac:dyDescent="0.25"/>
    <row r="67" spans="1:9" ht="15" x14ac:dyDescent="0.25">
      <c r="A67" s="49" t="s">
        <v>363</v>
      </c>
      <c r="B67" s="49"/>
      <c r="C67" s="49"/>
      <c r="D67" s="49"/>
      <c r="E67" s="49"/>
      <c r="F67" s="49"/>
      <c r="G67" s="49"/>
      <c r="H67" s="49"/>
      <c r="I67" s="49"/>
    </row>
    <row r="68" spans="1:9" ht="15" x14ac:dyDescent="0.25">
      <c r="A68" s="28" t="s">
        <v>122</v>
      </c>
      <c r="B68" s="28"/>
      <c r="C68" s="28"/>
      <c r="D68" s="28"/>
      <c r="E68" s="28"/>
      <c r="F68" s="28"/>
      <c r="G68" s="28"/>
      <c r="H68" s="28"/>
      <c r="I68" s="42" t="str">
        <f>'CL_1 - Project Review'!I57</f>
        <v>IDALS: Issue Date: 01/12/2023</v>
      </c>
    </row>
  </sheetData>
  <sheetProtection algorithmName="SHA-512" hashValue="gB/Zn36Vqiwyg135fXYaiPTBjzW8vKBTFhGKmCsBOIx3CcXKLDoWlqm1lnUJm49o0U6TCXMCVOY+dacp5IpRFQ==" saltValue="rKxJGh96ppwOybMG+Dty6w==" spinCount="100000" sheet="1" selectLockedCells="1"/>
  <mergeCells count="18">
    <mergeCell ref="B52:I52"/>
    <mergeCell ref="A54:I54"/>
    <mergeCell ref="B40:I41"/>
    <mergeCell ref="B62:I62"/>
    <mergeCell ref="A1:I1"/>
    <mergeCell ref="A2:I2"/>
    <mergeCell ref="B44:I45"/>
    <mergeCell ref="B55:I56"/>
    <mergeCell ref="B59:I59"/>
    <mergeCell ref="B3:G3"/>
    <mergeCell ref="B12:C12"/>
    <mergeCell ref="B17:I17"/>
    <mergeCell ref="B20:I20"/>
    <mergeCell ref="B23:C23"/>
    <mergeCell ref="F26:G26"/>
    <mergeCell ref="B36:I37"/>
    <mergeCell ref="B32:I33"/>
    <mergeCell ref="B48:I48"/>
  </mergeCells>
  <pageMargins left="0.7" right="0.7" top="0.75" bottom="0.75" header="0.3" footer="0.3"/>
  <pageSetup scale="6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P89"/>
  <sheetViews>
    <sheetView view="pageBreakPreview" zoomScaleNormal="100" zoomScaleSheetLayoutView="100" workbookViewId="0">
      <selection activeCell="C15" sqref="C15"/>
    </sheetView>
  </sheetViews>
  <sheetFormatPr defaultColWidth="9.140625" defaultRowHeight="12.75" x14ac:dyDescent="0.2"/>
  <cols>
    <col min="1" max="1" width="12.7109375" style="70" customWidth="1"/>
    <col min="2" max="2" width="18.7109375" style="70" customWidth="1"/>
    <col min="3" max="3" width="12.7109375" style="70" customWidth="1"/>
    <col min="4" max="4" width="13.5703125" style="70" customWidth="1"/>
    <col min="5" max="7" width="12.7109375" style="70" customWidth="1"/>
    <col min="8" max="8" width="12.7109375" style="68" customWidth="1"/>
    <col min="9" max="9" width="9.140625" style="68"/>
    <col min="10" max="16384" width="9.140625" style="70"/>
  </cols>
  <sheetData>
    <row r="1" spans="1:12" s="63" customFormat="1" x14ac:dyDescent="0.2">
      <c r="A1" s="384" t="s">
        <v>85</v>
      </c>
      <c r="B1" s="384"/>
      <c r="C1" s="384"/>
      <c r="D1" s="384"/>
      <c r="E1" s="384"/>
      <c r="F1" s="384"/>
      <c r="G1" s="384"/>
      <c r="H1" s="384"/>
      <c r="I1" s="62"/>
      <c r="J1" s="62"/>
      <c r="L1" s="64"/>
    </row>
    <row r="2" spans="1:12" s="63" customFormat="1" x14ac:dyDescent="0.2">
      <c r="A2" s="397" t="s">
        <v>306</v>
      </c>
      <c r="B2" s="397"/>
      <c r="C2" s="397"/>
      <c r="D2" s="397"/>
      <c r="E2" s="397"/>
      <c r="F2" s="397"/>
      <c r="G2" s="397"/>
      <c r="H2" s="397"/>
      <c r="I2" s="65"/>
      <c r="J2" s="65"/>
      <c r="L2" s="64"/>
    </row>
    <row r="3" spans="1:12" s="67" customFormat="1" x14ac:dyDescent="0.2">
      <c r="A3" s="66" t="s">
        <v>1</v>
      </c>
      <c r="B3" s="396" t="str">
        <f>'CL_1 - Project Review'!C3</f>
        <v>Project Name</v>
      </c>
      <c r="C3" s="396"/>
      <c r="D3" s="396"/>
      <c r="E3" s="396"/>
      <c r="F3" s="396"/>
      <c r="G3" s="396"/>
      <c r="H3" s="396"/>
      <c r="L3" s="68"/>
    </row>
    <row r="4" spans="1:12" s="67" customFormat="1" ht="3.6" customHeight="1" x14ac:dyDescent="0.2">
      <c r="A4" s="66"/>
      <c r="B4" s="69"/>
      <c r="C4" s="69"/>
      <c r="D4" s="69"/>
      <c r="E4" s="69"/>
      <c r="F4" s="69"/>
      <c r="G4" s="69"/>
      <c r="H4" s="69"/>
      <c r="L4" s="68"/>
    </row>
    <row r="5" spans="1:12" x14ac:dyDescent="0.2">
      <c r="A5" s="66" t="s">
        <v>78</v>
      </c>
      <c r="B5" s="396" t="str">
        <f>'CL_1 - Project Review'!C5</f>
        <v>Applicant name</v>
      </c>
      <c r="C5" s="396"/>
      <c r="D5" s="396"/>
      <c r="E5" s="66" t="s">
        <v>0</v>
      </c>
      <c r="F5" s="399">
        <f ca="1">'CL_1 - Project Review'!G5</f>
        <v>45644</v>
      </c>
      <c r="G5" s="399"/>
      <c r="H5" s="399"/>
      <c r="I5" s="70"/>
      <c r="L5" s="68"/>
    </row>
    <row r="6" spans="1:12" ht="3" customHeight="1" x14ac:dyDescent="0.2">
      <c r="A6" s="66"/>
      <c r="B6" s="69"/>
      <c r="C6" s="69"/>
      <c r="D6" s="69"/>
      <c r="E6" s="66"/>
      <c r="F6" s="69"/>
      <c r="G6" s="69"/>
      <c r="H6" s="69"/>
      <c r="I6" s="70"/>
      <c r="L6" s="68"/>
    </row>
    <row r="7" spans="1:12" x14ac:dyDescent="0.2">
      <c r="A7" s="66" t="s">
        <v>80</v>
      </c>
      <c r="B7" s="396" t="str">
        <f>'CL_1 - Project Review'!C7</f>
        <v>Designer name</v>
      </c>
      <c r="C7" s="396"/>
      <c r="D7" s="396"/>
      <c r="E7" s="66" t="s">
        <v>82</v>
      </c>
      <c r="F7" s="396" t="str">
        <f>'CL_1 - Project Review'!G7</f>
        <v>Enter City or County</v>
      </c>
      <c r="G7" s="396"/>
      <c r="H7" s="396"/>
      <c r="I7" s="70"/>
      <c r="L7" s="68"/>
    </row>
    <row r="8" spans="1:12" ht="3.6" customHeight="1" x14ac:dyDescent="0.2">
      <c r="A8" s="66"/>
      <c r="B8" s="66"/>
      <c r="C8" s="69"/>
      <c r="D8" s="69"/>
      <c r="E8" s="69"/>
      <c r="F8" s="66"/>
      <c r="G8" s="69"/>
      <c r="H8" s="69"/>
      <c r="I8" s="69"/>
      <c r="L8" s="68"/>
    </row>
    <row r="9" spans="1:12" x14ac:dyDescent="0.2">
      <c r="A9" s="400" t="s">
        <v>84</v>
      </c>
      <c r="B9" s="400"/>
      <c r="C9" s="400"/>
      <c r="D9" s="400"/>
      <c r="E9" s="400"/>
      <c r="F9" s="400"/>
      <c r="G9" s="400"/>
      <c r="H9" s="400"/>
      <c r="I9" s="71"/>
      <c r="J9" s="71"/>
      <c r="L9" s="68"/>
    </row>
    <row r="10" spans="1:12" x14ac:dyDescent="0.2">
      <c r="A10" s="72" t="s">
        <v>127</v>
      </c>
      <c r="B10" s="72"/>
      <c r="C10" s="72"/>
      <c r="D10" s="72"/>
      <c r="E10" s="73"/>
      <c r="F10" s="73"/>
      <c r="G10" s="73"/>
      <c r="H10" s="74"/>
    </row>
    <row r="11" spans="1:12" x14ac:dyDescent="0.2">
      <c r="A11" s="69" t="s">
        <v>87</v>
      </c>
      <c r="F11" s="75"/>
      <c r="G11" s="75"/>
      <c r="H11" s="76"/>
    </row>
    <row r="12" spans="1:12" x14ac:dyDescent="0.2">
      <c r="A12" s="69" t="s">
        <v>86</v>
      </c>
      <c r="B12" s="77"/>
      <c r="C12" s="77"/>
      <c r="D12" s="77"/>
      <c r="E12" s="77"/>
      <c r="F12" s="77"/>
      <c r="G12" s="77"/>
      <c r="H12" s="77"/>
      <c r="I12" s="76"/>
    </row>
    <row r="13" spans="1:12" x14ac:dyDescent="0.2">
      <c r="A13" s="69"/>
      <c r="B13" s="77"/>
      <c r="C13" s="77"/>
      <c r="D13" s="77"/>
      <c r="E13" s="77"/>
      <c r="F13" s="77"/>
      <c r="G13" s="77"/>
      <c r="H13" s="77"/>
      <c r="I13" s="76"/>
    </row>
    <row r="14" spans="1:12" ht="13.5" thickBot="1" x14ac:dyDescent="0.25">
      <c r="A14" s="78" t="s">
        <v>16</v>
      </c>
      <c r="B14" s="79"/>
      <c r="C14" s="79"/>
      <c r="D14" s="79"/>
      <c r="E14" s="79"/>
      <c r="F14" s="79"/>
      <c r="G14" s="79"/>
      <c r="H14" s="79"/>
      <c r="I14" s="76"/>
    </row>
    <row r="15" spans="1:12" ht="13.5" thickBot="1" x14ac:dyDescent="0.25">
      <c r="A15" s="80"/>
      <c r="B15" s="81" t="s">
        <v>368</v>
      </c>
      <c r="C15" s="82">
        <v>1</v>
      </c>
      <c r="D15" s="83" t="s">
        <v>13</v>
      </c>
      <c r="E15" s="84"/>
      <c r="F15" s="84"/>
      <c r="G15" s="84"/>
      <c r="H15" s="84"/>
      <c r="I15" s="76"/>
    </row>
    <row r="16" spans="1:12" ht="13.5" thickBot="1" x14ac:dyDescent="0.25">
      <c r="B16" s="85" t="s">
        <v>17</v>
      </c>
      <c r="C16" s="86">
        <v>100</v>
      </c>
      <c r="D16" s="83" t="s">
        <v>18</v>
      </c>
      <c r="E16" s="85" t="s">
        <v>20</v>
      </c>
      <c r="F16" s="85">
        <f>0.05+0.009*C16</f>
        <v>0.95</v>
      </c>
      <c r="G16" s="83"/>
      <c r="H16" s="84"/>
      <c r="I16" s="76"/>
    </row>
    <row r="17" spans="1:16" ht="13.5" thickBot="1" x14ac:dyDescent="0.25">
      <c r="B17" s="85" t="s">
        <v>19</v>
      </c>
      <c r="C17" s="86">
        <v>1.25</v>
      </c>
      <c r="D17" s="83" t="s">
        <v>14</v>
      </c>
      <c r="E17" s="85" t="s">
        <v>21</v>
      </c>
      <c r="F17" s="87">
        <f>F16*C17*C15*43560/12</f>
        <v>4310.625</v>
      </c>
      <c r="G17" s="83" t="s">
        <v>73</v>
      </c>
      <c r="H17" s="84"/>
      <c r="I17" s="76"/>
    </row>
    <row r="18" spans="1:16" x14ac:dyDescent="0.2">
      <c r="A18" s="68"/>
      <c r="B18" s="88"/>
      <c r="C18" s="88"/>
      <c r="D18" s="76"/>
      <c r="E18" s="89"/>
      <c r="F18" s="90"/>
      <c r="G18" s="90"/>
    </row>
    <row r="19" spans="1:16" ht="13.5" thickBot="1" x14ac:dyDescent="0.25">
      <c r="A19" s="78" t="s">
        <v>22</v>
      </c>
      <c r="B19" s="79"/>
      <c r="C19" s="79"/>
      <c r="D19" s="79"/>
      <c r="E19" s="79"/>
      <c r="F19" s="79"/>
      <c r="G19" s="79"/>
      <c r="H19" s="79"/>
      <c r="I19" s="76"/>
      <c r="P19" s="16"/>
    </row>
    <row r="20" spans="1:16" x14ac:dyDescent="0.2">
      <c r="A20" s="91"/>
      <c r="B20" s="92" t="s">
        <v>320</v>
      </c>
      <c r="C20" s="93"/>
      <c r="D20" s="94"/>
      <c r="E20" s="95"/>
      <c r="F20" s="96"/>
      <c r="G20" s="84"/>
      <c r="H20" s="84"/>
      <c r="I20" s="76"/>
    </row>
    <row r="21" spans="1:16" x14ac:dyDescent="0.2">
      <c r="A21" s="68"/>
      <c r="B21" s="88"/>
      <c r="C21" s="88"/>
      <c r="D21" s="76"/>
      <c r="E21" s="89"/>
      <c r="F21" s="90"/>
      <c r="G21" s="90"/>
    </row>
    <row r="22" spans="1:16" ht="13.5" thickBot="1" x14ac:dyDescent="0.25">
      <c r="A22" s="78" t="s">
        <v>23</v>
      </c>
      <c r="B22" s="79"/>
      <c r="C22" s="79"/>
      <c r="D22" s="79"/>
      <c r="E22" s="79"/>
      <c r="F22" s="79"/>
      <c r="G22" s="79"/>
      <c r="H22" s="79"/>
      <c r="I22" s="76"/>
    </row>
    <row r="23" spans="1:16" s="68" customFormat="1" ht="13.5" thickBot="1" x14ac:dyDescent="0.25">
      <c r="B23" s="97" t="s">
        <v>24</v>
      </c>
      <c r="C23" s="98" t="s">
        <v>321</v>
      </c>
      <c r="D23" s="83"/>
      <c r="E23" s="99"/>
      <c r="F23" s="90"/>
      <c r="G23" s="90"/>
    </row>
    <row r="24" spans="1:16" s="68" customFormat="1" x14ac:dyDescent="0.2">
      <c r="C24" s="100" t="s">
        <v>325</v>
      </c>
      <c r="D24" s="83"/>
      <c r="E24" s="99"/>
      <c r="F24" s="90"/>
      <c r="G24" s="90"/>
    </row>
    <row r="25" spans="1:16" s="68" customFormat="1" x14ac:dyDescent="0.2">
      <c r="B25" s="76"/>
      <c r="C25" s="76"/>
      <c r="D25" s="76"/>
      <c r="E25" s="90"/>
      <c r="F25" s="90"/>
      <c r="G25" s="90"/>
      <c r="P25" s="16"/>
    </row>
    <row r="26" spans="1:16" ht="13.5" thickBot="1" x14ac:dyDescent="0.25">
      <c r="A26" s="78" t="s">
        <v>25</v>
      </c>
      <c r="B26" s="79"/>
      <c r="C26" s="79"/>
      <c r="D26" s="79"/>
      <c r="E26" s="79"/>
      <c r="F26" s="79"/>
      <c r="G26" s="79"/>
      <c r="H26" s="79"/>
      <c r="I26" s="76"/>
    </row>
    <row r="27" spans="1:16" s="68" customFormat="1" x14ac:dyDescent="0.2">
      <c r="B27" s="97" t="s">
        <v>26</v>
      </c>
      <c r="C27" s="398" t="s">
        <v>322</v>
      </c>
      <c r="D27" s="398"/>
      <c r="E27" s="99"/>
      <c r="F27" s="90"/>
      <c r="G27" s="90"/>
    </row>
    <row r="28" spans="1:16" s="68" customFormat="1" x14ac:dyDescent="0.2">
      <c r="B28" s="101" t="s">
        <v>323</v>
      </c>
      <c r="D28" s="83"/>
      <c r="E28" s="99"/>
      <c r="F28" s="90"/>
      <c r="G28" s="90"/>
    </row>
    <row r="29" spans="1:16" s="68" customFormat="1" x14ac:dyDescent="0.2">
      <c r="B29" s="76"/>
      <c r="C29" s="76"/>
      <c r="D29" s="76"/>
      <c r="E29" s="90"/>
      <c r="F29" s="90"/>
      <c r="G29" s="90"/>
    </row>
    <row r="30" spans="1:16" ht="13.5" thickBot="1" x14ac:dyDescent="0.25">
      <c r="A30" s="78" t="s">
        <v>27</v>
      </c>
      <c r="B30" s="79"/>
      <c r="C30" s="79"/>
      <c r="D30" s="79"/>
      <c r="E30" s="79"/>
      <c r="F30" s="79"/>
      <c r="G30" s="79"/>
      <c r="H30" s="79"/>
      <c r="I30" s="76"/>
      <c r="P30" s="16"/>
    </row>
    <row r="31" spans="1:16" s="68" customFormat="1" x14ac:dyDescent="0.2">
      <c r="B31" s="92" t="s">
        <v>119</v>
      </c>
      <c r="C31" s="102"/>
      <c r="D31" s="83"/>
      <c r="E31" s="99"/>
      <c r="F31" s="90"/>
      <c r="G31" s="90"/>
    </row>
    <row r="32" spans="1:16" s="68" customFormat="1" x14ac:dyDescent="0.2">
      <c r="B32" s="76"/>
      <c r="C32" s="76"/>
      <c r="D32" s="76"/>
      <c r="E32" s="90"/>
      <c r="F32" s="90"/>
      <c r="G32" s="90"/>
    </row>
    <row r="33" spans="1:16" ht="13.5" thickBot="1" x14ac:dyDescent="0.25">
      <c r="A33" s="78" t="s">
        <v>28</v>
      </c>
      <c r="B33" s="79"/>
      <c r="C33" s="79"/>
      <c r="D33" s="79"/>
      <c r="E33" s="103" t="s">
        <v>369</v>
      </c>
      <c r="F33" s="79"/>
      <c r="G33" s="79"/>
      <c r="H33" s="79"/>
      <c r="I33" s="76"/>
    </row>
    <row r="34" spans="1:16" s="68" customFormat="1" ht="13.5" thickBot="1" x14ac:dyDescent="0.25">
      <c r="B34" s="85" t="s">
        <v>29</v>
      </c>
      <c r="C34" s="82">
        <v>6</v>
      </c>
      <c r="D34" s="83" t="s">
        <v>14</v>
      </c>
      <c r="E34" s="104" t="s">
        <v>373</v>
      </c>
      <c r="F34" s="90"/>
      <c r="G34" s="90"/>
    </row>
    <row r="35" spans="1:16" s="68" customFormat="1" x14ac:dyDescent="0.2">
      <c r="B35" s="76"/>
      <c r="C35" s="105"/>
      <c r="D35" s="76"/>
      <c r="E35" s="90"/>
      <c r="F35" s="90"/>
      <c r="G35" s="90"/>
    </row>
    <row r="36" spans="1:16" ht="13.5" thickBot="1" x14ac:dyDescent="0.25">
      <c r="A36" s="78" t="s">
        <v>30</v>
      </c>
      <c r="B36" s="79"/>
      <c r="C36" s="106"/>
      <c r="D36" s="79"/>
      <c r="E36" s="103" t="s">
        <v>369</v>
      </c>
      <c r="F36" s="79"/>
      <c r="G36" s="79"/>
      <c r="H36" s="79"/>
      <c r="I36" s="76"/>
    </row>
    <row r="37" spans="1:16" s="68" customFormat="1" ht="13.5" thickBot="1" x14ac:dyDescent="0.25">
      <c r="B37" s="85" t="s">
        <v>31</v>
      </c>
      <c r="C37" s="107">
        <v>3</v>
      </c>
      <c r="D37" s="83" t="s">
        <v>14</v>
      </c>
      <c r="E37" s="104" t="s">
        <v>370</v>
      </c>
      <c r="F37" s="90"/>
      <c r="G37" s="90"/>
    </row>
    <row r="38" spans="1:16" s="68" customFormat="1" ht="13.5" thickBot="1" x14ac:dyDescent="0.25">
      <c r="B38" s="85" t="s">
        <v>32</v>
      </c>
      <c r="C38" s="108">
        <v>18</v>
      </c>
      <c r="D38" s="83" t="s">
        <v>14</v>
      </c>
      <c r="E38" s="104" t="s">
        <v>371</v>
      </c>
      <c r="F38" s="90"/>
      <c r="G38" s="90"/>
    </row>
    <row r="39" spans="1:16" s="68" customFormat="1" ht="13.5" thickBot="1" x14ac:dyDescent="0.25">
      <c r="B39" s="85" t="s">
        <v>378</v>
      </c>
      <c r="C39" s="108">
        <v>3</v>
      </c>
      <c r="D39" s="83" t="s">
        <v>14</v>
      </c>
      <c r="E39" s="104" t="s">
        <v>372</v>
      </c>
      <c r="F39" s="90"/>
      <c r="G39" s="90"/>
    </row>
    <row r="40" spans="1:16" s="68" customFormat="1" ht="13.5" thickBot="1" x14ac:dyDescent="0.25">
      <c r="B40" s="109" t="s">
        <v>379</v>
      </c>
      <c r="C40" s="110">
        <v>9</v>
      </c>
      <c r="D40" s="83" t="s">
        <v>14</v>
      </c>
      <c r="E40" s="111"/>
      <c r="F40" s="90"/>
      <c r="G40" s="90"/>
    </row>
    <row r="41" spans="1:16" s="68" customFormat="1" x14ac:dyDescent="0.2">
      <c r="B41" s="85" t="s">
        <v>33</v>
      </c>
      <c r="C41" s="112" cm="1">
        <f t="array" ref="C41">SUM(C37:C40/12)</f>
        <v>2.75</v>
      </c>
      <c r="D41" s="83" t="s">
        <v>15</v>
      </c>
      <c r="E41" s="99"/>
      <c r="F41" s="90"/>
      <c r="G41" s="90"/>
    </row>
    <row r="42" spans="1:16" s="68" customFormat="1" x14ac:dyDescent="0.2">
      <c r="B42" s="76"/>
      <c r="C42" s="76"/>
      <c r="D42" s="76"/>
      <c r="E42" s="90"/>
      <c r="F42" s="90"/>
      <c r="G42" s="90"/>
      <c r="P42" s="16"/>
    </row>
    <row r="43" spans="1:16" ht="13.5" thickBot="1" x14ac:dyDescent="0.25">
      <c r="A43" s="78" t="s">
        <v>34</v>
      </c>
      <c r="B43" s="79"/>
      <c r="C43" s="79"/>
      <c r="D43" s="79"/>
      <c r="E43" s="79"/>
      <c r="F43" s="79"/>
      <c r="G43" s="79"/>
      <c r="H43" s="79"/>
      <c r="I43" s="76"/>
    </row>
    <row r="44" spans="1:16" x14ac:dyDescent="0.2">
      <c r="A44" s="91"/>
      <c r="B44" s="85" t="s">
        <v>35</v>
      </c>
      <c r="C44" s="113">
        <v>1</v>
      </c>
      <c r="D44" s="83" t="s">
        <v>37</v>
      </c>
      <c r="E44" s="83"/>
      <c r="F44" s="84"/>
      <c r="G44" s="84"/>
      <c r="H44" s="84"/>
      <c r="I44" s="76"/>
      <c r="P44" s="114"/>
    </row>
    <row r="45" spans="1:16" s="68" customFormat="1" x14ac:dyDescent="0.2">
      <c r="B45" s="85" t="s">
        <v>36</v>
      </c>
      <c r="C45" s="115">
        <v>2</v>
      </c>
      <c r="D45" s="83" t="s">
        <v>124</v>
      </c>
      <c r="E45" s="395" t="s">
        <v>374</v>
      </c>
      <c r="F45" s="395"/>
      <c r="G45" s="395"/>
      <c r="H45" s="395"/>
      <c r="P45" s="114"/>
    </row>
    <row r="46" spans="1:16" s="68" customFormat="1" x14ac:dyDescent="0.2">
      <c r="B46" s="85" t="s">
        <v>38</v>
      </c>
      <c r="C46" s="87">
        <f>F17*C41/(C45*(C34/24+C41)*C44)</f>
        <v>1975.703125</v>
      </c>
      <c r="D46" s="83" t="s">
        <v>63</v>
      </c>
      <c r="E46" s="395"/>
      <c r="F46" s="395"/>
      <c r="G46" s="395"/>
      <c r="H46" s="395"/>
    </row>
    <row r="47" spans="1:16" s="68" customFormat="1" x14ac:dyDescent="0.2">
      <c r="B47" s="76"/>
      <c r="C47" s="76"/>
      <c r="D47" s="76"/>
      <c r="E47" s="90"/>
      <c r="F47" s="90"/>
      <c r="G47" s="90"/>
    </row>
    <row r="48" spans="1:16" ht="13.5" thickBot="1" x14ac:dyDescent="0.25">
      <c r="A48" s="78" t="s">
        <v>88</v>
      </c>
      <c r="B48" s="79"/>
      <c r="C48" s="79"/>
      <c r="D48" s="79"/>
      <c r="E48" s="79"/>
      <c r="F48" s="79"/>
      <c r="G48" s="79"/>
      <c r="H48" s="79"/>
      <c r="I48" s="76"/>
    </row>
    <row r="49" spans="1:16" s="68" customFormat="1" ht="13.5" thickBot="1" x14ac:dyDescent="0.25">
      <c r="B49" s="85" t="s">
        <v>39</v>
      </c>
      <c r="C49" s="116">
        <v>20</v>
      </c>
      <c r="D49" s="83" t="s">
        <v>126</v>
      </c>
      <c r="E49" s="116">
        <v>100</v>
      </c>
      <c r="F49" s="117" t="s">
        <v>125</v>
      </c>
      <c r="G49" s="90" t="s">
        <v>40</v>
      </c>
      <c r="H49" s="118">
        <f>C49*E49</f>
        <v>2000</v>
      </c>
    </row>
    <row r="50" spans="1:16" s="68" customFormat="1" x14ac:dyDescent="0.2">
      <c r="B50" s="85"/>
      <c r="C50" s="119"/>
      <c r="D50" s="120"/>
      <c r="E50" s="119"/>
      <c r="F50" s="90"/>
      <c r="G50" s="90"/>
      <c r="H50" s="118"/>
    </row>
    <row r="51" spans="1:16" s="68" customFormat="1" ht="13.9" customHeight="1" thickBot="1" x14ac:dyDescent="0.25">
      <c r="B51" s="85" t="s">
        <v>106</v>
      </c>
      <c r="C51" s="121">
        <v>2000</v>
      </c>
      <c r="D51" s="83" t="s">
        <v>107</v>
      </c>
    </row>
    <row r="52" spans="1:16" s="68" customFormat="1" x14ac:dyDescent="0.2">
      <c r="B52" s="76"/>
      <c r="C52" s="76"/>
      <c r="D52" s="76"/>
    </row>
    <row r="53" spans="1:16" s="68" customFormat="1" ht="13.5" thickBot="1" x14ac:dyDescent="0.25">
      <c r="A53" s="78" t="s">
        <v>41</v>
      </c>
      <c r="B53" s="79"/>
      <c r="C53" s="79"/>
      <c r="D53" s="79"/>
      <c r="E53" s="79"/>
      <c r="F53" s="79"/>
      <c r="G53" s="79"/>
      <c r="H53" s="79"/>
    </row>
    <row r="54" spans="1:16" s="68" customFormat="1" x14ac:dyDescent="0.2">
      <c r="B54" s="109" t="s">
        <v>360</v>
      </c>
      <c r="C54" s="102">
        <f>C45*C46/24/3600</f>
        <v>4.573386863425926E-2</v>
      </c>
      <c r="D54" s="83" t="s">
        <v>123</v>
      </c>
      <c r="E54" s="99"/>
      <c r="F54" s="90"/>
      <c r="G54" s="90"/>
      <c r="P54" s="16"/>
    </row>
    <row r="55" spans="1:16" s="68" customFormat="1" ht="13.5" thickBot="1" x14ac:dyDescent="0.25">
      <c r="B55" s="81" t="s">
        <v>366</v>
      </c>
      <c r="C55" s="122">
        <v>0.05</v>
      </c>
      <c r="D55" s="69" t="s">
        <v>123</v>
      </c>
      <c r="E55" s="99"/>
      <c r="F55" s="90"/>
      <c r="G55" s="90"/>
      <c r="P55" s="16"/>
    </row>
    <row r="56" spans="1:16" s="68" customFormat="1" ht="13.5" thickBot="1" x14ac:dyDescent="0.25">
      <c r="B56" s="85" t="s">
        <v>42</v>
      </c>
      <c r="C56" s="108">
        <v>8</v>
      </c>
      <c r="D56" s="83" t="s">
        <v>14</v>
      </c>
      <c r="E56" s="90"/>
      <c r="F56" s="90"/>
      <c r="G56" s="90"/>
    </row>
    <row r="57" spans="1:16" s="68" customFormat="1" x14ac:dyDescent="0.2">
      <c r="B57" s="85" t="s">
        <v>89</v>
      </c>
      <c r="C57" s="123">
        <f>C51*0.1/2</f>
        <v>100</v>
      </c>
      <c r="D57" s="124" t="s">
        <v>15</v>
      </c>
      <c r="E57" s="125"/>
      <c r="F57" s="125"/>
      <c r="G57" s="125"/>
      <c r="H57" s="125"/>
    </row>
    <row r="58" spans="1:16" s="68" customFormat="1" ht="13.5" thickBot="1" x14ac:dyDescent="0.25">
      <c r="B58" s="85" t="s">
        <v>90</v>
      </c>
      <c r="C58" s="108">
        <v>100</v>
      </c>
      <c r="D58" s="83" t="s">
        <v>15</v>
      </c>
      <c r="E58" s="125"/>
      <c r="F58" s="125"/>
      <c r="G58" s="125"/>
      <c r="H58" s="125"/>
    </row>
    <row r="59" spans="1:16" s="68" customFormat="1" x14ac:dyDescent="0.2">
      <c r="B59" s="76"/>
      <c r="C59" s="76"/>
      <c r="D59" s="85"/>
      <c r="E59" s="90"/>
      <c r="F59" s="90"/>
      <c r="G59" s="90"/>
    </row>
    <row r="60" spans="1:16" s="68" customFormat="1" ht="13.5" thickBot="1" x14ac:dyDescent="0.25">
      <c r="A60" s="78" t="s">
        <v>43</v>
      </c>
      <c r="B60" s="79"/>
      <c r="C60" s="79"/>
      <c r="D60" s="79"/>
      <c r="E60" s="79"/>
      <c r="F60" s="79"/>
      <c r="G60" s="79"/>
      <c r="H60" s="79"/>
    </row>
    <row r="61" spans="1:16" s="68" customFormat="1" x14ac:dyDescent="0.2">
      <c r="B61" s="92" t="s">
        <v>324</v>
      </c>
      <c r="C61" s="102"/>
      <c r="D61" s="83"/>
      <c r="E61" s="99"/>
      <c r="F61" s="90"/>
      <c r="G61" s="90"/>
    </row>
    <row r="62" spans="1:16" s="68" customFormat="1" x14ac:dyDescent="0.2">
      <c r="B62" s="76"/>
      <c r="C62" s="76"/>
      <c r="D62" s="76"/>
      <c r="E62" s="90"/>
      <c r="F62" s="90"/>
      <c r="G62" s="90"/>
    </row>
    <row r="63" spans="1:16" s="68" customFormat="1" ht="13.5" thickBot="1" x14ac:dyDescent="0.25">
      <c r="A63" s="78" t="s">
        <v>44</v>
      </c>
      <c r="B63" s="79"/>
      <c r="C63" s="79"/>
      <c r="D63" s="79"/>
      <c r="E63" s="79"/>
      <c r="F63" s="79"/>
      <c r="G63" s="79"/>
      <c r="H63" s="79"/>
    </row>
    <row r="64" spans="1:16" s="68" customFormat="1" x14ac:dyDescent="0.2">
      <c r="B64" s="126" t="s">
        <v>367</v>
      </c>
      <c r="C64" s="127"/>
      <c r="D64" s="120"/>
      <c r="E64" s="128"/>
      <c r="F64" s="129"/>
      <c r="G64" s="129"/>
    </row>
    <row r="65" spans="1:9" s="68" customFormat="1" x14ac:dyDescent="0.2">
      <c r="B65" s="101"/>
      <c r="C65" s="130"/>
      <c r="D65" s="83"/>
      <c r="E65" s="99"/>
      <c r="F65" s="90"/>
      <c r="G65" s="90"/>
    </row>
    <row r="66" spans="1:9" s="68" customFormat="1" ht="13.5" thickBot="1" x14ac:dyDescent="0.25">
      <c r="A66" s="78" t="s">
        <v>332</v>
      </c>
      <c r="B66" s="79"/>
      <c r="C66" s="79"/>
      <c r="D66" s="79"/>
      <c r="E66" s="79"/>
      <c r="F66" s="79"/>
      <c r="G66" s="79"/>
      <c r="H66" s="79"/>
    </row>
    <row r="67" spans="1:9" s="68" customFormat="1" x14ac:dyDescent="0.2">
      <c r="B67" s="92" t="s">
        <v>333</v>
      </c>
      <c r="C67" s="102"/>
      <c r="D67" s="83"/>
      <c r="E67" s="99"/>
      <c r="F67" s="90"/>
      <c r="G67" s="90"/>
    </row>
    <row r="68" spans="1:9" s="68" customFormat="1" ht="13.5" thickBot="1" x14ac:dyDescent="0.25">
      <c r="B68" s="76"/>
      <c r="C68" s="76"/>
      <c r="D68" s="76"/>
      <c r="E68" s="90"/>
      <c r="F68" s="90"/>
      <c r="G68" s="90"/>
    </row>
    <row r="69" spans="1:9" s="68" customFormat="1" ht="15" x14ac:dyDescent="0.25">
      <c r="A69" s="49" t="s">
        <v>121</v>
      </c>
      <c r="B69" s="49"/>
      <c r="C69" s="49"/>
      <c r="D69" s="49"/>
      <c r="E69" s="49"/>
      <c r="F69" s="49"/>
      <c r="G69" s="49"/>
      <c r="H69" s="49"/>
      <c r="I69" s="131"/>
    </row>
    <row r="70" spans="1:9" s="68" customFormat="1" ht="15" x14ac:dyDescent="0.25">
      <c r="A70" s="28" t="s">
        <v>102</v>
      </c>
      <c r="B70" s="28"/>
      <c r="C70" s="28"/>
      <c r="D70" s="28"/>
      <c r="E70" s="28"/>
      <c r="F70" s="28"/>
      <c r="G70" s="28"/>
      <c r="H70" s="42" t="str">
        <f>'CL_1 - Project Review'!I57</f>
        <v>IDALS: Issue Date: 01/12/2023</v>
      </c>
      <c r="I70" s="28"/>
    </row>
    <row r="71" spans="1:9" s="68" customFormat="1" x14ac:dyDescent="0.2">
      <c r="B71" s="76"/>
      <c r="C71" s="76"/>
      <c r="D71" s="76"/>
      <c r="E71" s="90"/>
      <c r="F71" s="90"/>
      <c r="G71" s="90"/>
    </row>
    <row r="72" spans="1:9" s="68" customFormat="1" x14ac:dyDescent="0.2">
      <c r="B72" s="76"/>
      <c r="C72" s="76"/>
      <c r="D72" s="76"/>
      <c r="E72" s="90"/>
      <c r="F72" s="90"/>
      <c r="G72" s="90"/>
    </row>
    <row r="73" spans="1:9" s="68" customFormat="1" x14ac:dyDescent="0.2">
      <c r="B73" s="76"/>
      <c r="C73" s="76"/>
      <c r="D73" s="76"/>
      <c r="E73" s="90"/>
      <c r="F73" s="90"/>
      <c r="G73" s="90"/>
    </row>
    <row r="74" spans="1:9" s="68" customFormat="1" x14ac:dyDescent="0.2">
      <c r="B74" s="76"/>
      <c r="C74" s="76"/>
      <c r="D74" s="76"/>
      <c r="E74" s="90"/>
      <c r="F74" s="90"/>
      <c r="G74" s="90"/>
    </row>
    <row r="75" spans="1:9" s="68" customFormat="1" x14ac:dyDescent="0.2">
      <c r="B75" s="76"/>
      <c r="C75" s="76"/>
      <c r="D75" s="76"/>
      <c r="E75" s="90"/>
      <c r="F75" s="90"/>
      <c r="G75" s="90"/>
    </row>
    <row r="76" spans="1:9" s="68" customFormat="1" x14ac:dyDescent="0.2">
      <c r="B76" s="76"/>
      <c r="C76" s="76"/>
      <c r="D76" s="76"/>
      <c r="E76" s="90"/>
      <c r="F76" s="90"/>
      <c r="G76" s="90"/>
    </row>
    <row r="77" spans="1:9" s="68" customFormat="1" x14ac:dyDescent="0.2">
      <c r="B77" s="76"/>
      <c r="C77" s="76"/>
      <c r="D77" s="76"/>
      <c r="E77" s="90"/>
      <c r="F77" s="90"/>
      <c r="G77" s="90"/>
    </row>
    <row r="78" spans="1:9" s="68" customFormat="1" x14ac:dyDescent="0.2">
      <c r="B78" s="76"/>
      <c r="C78" s="76"/>
      <c r="D78" s="76"/>
      <c r="E78" s="90"/>
      <c r="F78" s="90"/>
      <c r="G78" s="90"/>
    </row>
    <row r="79" spans="1:9" s="68" customFormat="1" x14ac:dyDescent="0.2">
      <c r="B79" s="76"/>
      <c r="C79" s="76"/>
      <c r="D79" s="76"/>
      <c r="E79" s="90"/>
      <c r="F79" s="90"/>
      <c r="G79" s="90"/>
    </row>
    <row r="80" spans="1:9" s="68" customFormat="1" x14ac:dyDescent="0.2">
      <c r="B80" s="76"/>
      <c r="C80" s="76"/>
      <c r="D80" s="76"/>
      <c r="E80" s="90"/>
      <c r="F80" s="90"/>
      <c r="G80" s="90"/>
    </row>
    <row r="81" spans="2:7" s="68" customFormat="1" x14ac:dyDescent="0.2">
      <c r="B81" s="76"/>
      <c r="C81" s="76"/>
      <c r="D81" s="76"/>
      <c r="E81" s="90"/>
      <c r="F81" s="90"/>
      <c r="G81" s="90"/>
    </row>
    <row r="82" spans="2:7" s="68" customFormat="1" x14ac:dyDescent="0.2">
      <c r="B82" s="76"/>
      <c r="C82" s="76"/>
      <c r="D82" s="76"/>
      <c r="E82" s="90"/>
      <c r="F82" s="90"/>
      <c r="G82" s="90"/>
    </row>
    <row r="83" spans="2:7" s="68" customFormat="1" x14ac:dyDescent="0.2">
      <c r="B83" s="76"/>
      <c r="C83" s="76"/>
      <c r="D83" s="76"/>
      <c r="E83" s="90"/>
      <c r="F83" s="90"/>
      <c r="G83" s="90"/>
    </row>
    <row r="84" spans="2:7" s="68" customFormat="1" x14ac:dyDescent="0.2">
      <c r="B84" s="76"/>
      <c r="C84" s="76"/>
      <c r="D84" s="76"/>
      <c r="E84" s="90"/>
      <c r="F84" s="90"/>
      <c r="G84" s="90"/>
    </row>
    <row r="85" spans="2:7" s="68" customFormat="1" x14ac:dyDescent="0.2">
      <c r="B85" s="76"/>
      <c r="C85" s="76"/>
      <c r="D85" s="76"/>
      <c r="E85" s="90"/>
      <c r="F85" s="90"/>
      <c r="G85" s="90"/>
    </row>
    <row r="86" spans="2:7" s="68" customFormat="1" x14ac:dyDescent="0.2">
      <c r="B86" s="76"/>
      <c r="C86" s="76"/>
      <c r="D86" s="76"/>
      <c r="E86" s="90"/>
      <c r="F86" s="90"/>
      <c r="G86" s="90"/>
    </row>
    <row r="87" spans="2:7" s="68" customFormat="1" x14ac:dyDescent="0.2">
      <c r="B87" s="76"/>
      <c r="C87" s="76"/>
      <c r="D87" s="76"/>
      <c r="E87" s="90"/>
      <c r="F87" s="90"/>
      <c r="G87" s="90"/>
    </row>
    <row r="88" spans="2:7" s="68" customFormat="1" x14ac:dyDescent="0.2">
      <c r="B88" s="76"/>
      <c r="C88" s="76"/>
      <c r="D88" s="76"/>
      <c r="E88" s="90"/>
      <c r="F88" s="90"/>
      <c r="G88" s="90"/>
    </row>
    <row r="89" spans="2:7" s="68" customFormat="1" x14ac:dyDescent="0.2">
      <c r="B89" s="76"/>
      <c r="C89" s="76"/>
      <c r="D89" s="76"/>
      <c r="E89" s="90"/>
      <c r="F89" s="90"/>
      <c r="G89" s="90"/>
    </row>
  </sheetData>
  <sheetProtection algorithmName="SHA-512" hashValue="Aq0Yc98TmJ5Rc0WMiq+cFCmPP5f/XVopXe/f0McR+QXMSM5dMgbZeskTBVqlBO3hr9hQJIxI45j4rja2ppOn5A==" saltValue="qohoJNF2kXkZjVwr4lll7Q==" spinCount="100000" sheet="1" selectLockedCells="1"/>
  <mergeCells count="10">
    <mergeCell ref="E45:H46"/>
    <mergeCell ref="B5:D5"/>
    <mergeCell ref="B7:D7"/>
    <mergeCell ref="A1:H1"/>
    <mergeCell ref="A2:H2"/>
    <mergeCell ref="C27:D27"/>
    <mergeCell ref="F7:H7"/>
    <mergeCell ref="F5:H5"/>
    <mergeCell ref="A9:H9"/>
    <mergeCell ref="B3:H3"/>
  </mergeCells>
  <pageMargins left="0.7" right="0.7" top="0.75" bottom="0.75" header="0.3" footer="0.3"/>
  <pageSetup scale="8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R98"/>
  <sheetViews>
    <sheetView view="pageBreakPreview" zoomScaleNormal="100" zoomScaleSheetLayoutView="100" workbookViewId="0">
      <selection activeCell="C16" sqref="C16"/>
    </sheetView>
  </sheetViews>
  <sheetFormatPr defaultColWidth="9.140625" defaultRowHeight="15" x14ac:dyDescent="0.25"/>
  <cols>
    <col min="1" max="1" width="16" style="28" customWidth="1"/>
    <col min="2" max="7" width="13.28515625" style="28" customWidth="1"/>
    <col min="8" max="8" width="13.28515625" style="139" customWidth="1"/>
    <col min="9" max="9" width="9.140625" style="139"/>
    <col min="10" max="16384" width="9.140625" style="28"/>
  </cols>
  <sheetData>
    <row r="1" spans="1:18" s="63" customFormat="1" ht="12.75" x14ac:dyDescent="0.2">
      <c r="A1" s="384" t="s">
        <v>85</v>
      </c>
      <c r="B1" s="384"/>
      <c r="C1" s="384"/>
      <c r="D1" s="384"/>
      <c r="E1" s="384"/>
      <c r="F1" s="384"/>
      <c r="G1" s="384"/>
      <c r="H1" s="384"/>
      <c r="I1" s="62"/>
      <c r="J1" s="62"/>
      <c r="L1" s="64"/>
    </row>
    <row r="2" spans="1:18" s="63" customFormat="1" ht="12.75" x14ac:dyDescent="0.2">
      <c r="A2" s="397" t="s">
        <v>307</v>
      </c>
      <c r="B2" s="397"/>
      <c r="C2" s="397"/>
      <c r="D2" s="397"/>
      <c r="E2" s="397"/>
      <c r="F2" s="397"/>
      <c r="G2" s="397"/>
      <c r="H2" s="397"/>
      <c r="I2" s="65"/>
      <c r="J2" s="65"/>
      <c r="L2" s="64"/>
    </row>
    <row r="3" spans="1:18" s="67" customFormat="1" ht="12.75" x14ac:dyDescent="0.2">
      <c r="A3" s="66" t="s">
        <v>1</v>
      </c>
      <c r="B3" s="396" t="str">
        <f>'CL_1 - Project Review'!C3</f>
        <v>Project Name</v>
      </c>
      <c r="C3" s="396"/>
      <c r="D3" s="396"/>
      <c r="E3" s="396"/>
      <c r="F3" s="396"/>
      <c r="G3" s="396"/>
      <c r="H3" s="396"/>
      <c r="L3" s="68"/>
    </row>
    <row r="4" spans="1:18" s="67" customFormat="1" ht="3.6" customHeight="1" x14ac:dyDescent="0.2">
      <c r="A4" s="66"/>
      <c r="B4" s="69"/>
      <c r="C4" s="69"/>
      <c r="D4" s="69"/>
      <c r="E4" s="69"/>
      <c r="F4" s="69"/>
      <c r="G4" s="69"/>
      <c r="H4" s="69"/>
      <c r="L4" s="68"/>
    </row>
    <row r="5" spans="1:18" s="70" customFormat="1" ht="12.75" x14ac:dyDescent="0.2">
      <c r="A5" s="66" t="s">
        <v>78</v>
      </c>
      <c r="B5" s="396" t="str">
        <f>'CL_1 - Project Review'!C5</f>
        <v>Applicant name</v>
      </c>
      <c r="C5" s="396"/>
      <c r="D5" s="396"/>
      <c r="E5" s="66" t="s">
        <v>0</v>
      </c>
      <c r="F5" s="399">
        <f ca="1">'CL_1 - Project Review'!G5</f>
        <v>45644</v>
      </c>
      <c r="G5" s="399"/>
      <c r="H5" s="399"/>
      <c r="L5" s="68"/>
      <c r="R5" s="16"/>
    </row>
    <row r="6" spans="1:18" s="70" customFormat="1" ht="3" customHeight="1" x14ac:dyDescent="0.2">
      <c r="A6" s="66"/>
      <c r="B6" s="69"/>
      <c r="C6" s="69"/>
      <c r="D6" s="69"/>
      <c r="E6" s="66"/>
      <c r="F6" s="69"/>
      <c r="G6" s="69"/>
      <c r="H6" s="69"/>
      <c r="L6" s="68"/>
    </row>
    <row r="7" spans="1:18" s="70" customFormat="1" ht="12.75" x14ac:dyDescent="0.2">
      <c r="A7" s="66" t="s">
        <v>80</v>
      </c>
      <c r="B7" s="396" t="str">
        <f>'CL_1 - Project Review'!C7</f>
        <v>Designer name</v>
      </c>
      <c r="C7" s="396"/>
      <c r="D7" s="396"/>
      <c r="E7" s="66" t="s">
        <v>82</v>
      </c>
      <c r="F7" s="396" t="str">
        <f>'CL_1 - Project Review'!G7</f>
        <v>Enter City or County</v>
      </c>
      <c r="G7" s="396"/>
      <c r="H7" s="396"/>
      <c r="L7" s="68"/>
    </row>
    <row r="8" spans="1:18" s="70" customFormat="1" ht="3.6" customHeight="1" x14ac:dyDescent="0.2">
      <c r="A8" s="66"/>
      <c r="B8" s="66"/>
      <c r="C8" s="69"/>
      <c r="D8" s="69"/>
      <c r="E8" s="69"/>
      <c r="F8" s="66"/>
      <c r="G8" s="69"/>
      <c r="H8" s="69"/>
      <c r="I8" s="69"/>
      <c r="L8" s="68"/>
    </row>
    <row r="9" spans="1:18" s="70" customFormat="1" ht="12.75" x14ac:dyDescent="0.2">
      <c r="A9" s="400" t="s">
        <v>84</v>
      </c>
      <c r="B9" s="400"/>
      <c r="C9" s="400"/>
      <c r="D9" s="400"/>
      <c r="E9" s="400"/>
      <c r="F9" s="400"/>
      <c r="G9" s="400"/>
      <c r="H9" s="400"/>
      <c r="I9" s="71"/>
      <c r="J9" s="71"/>
      <c r="L9" s="68"/>
    </row>
    <row r="10" spans="1:18" x14ac:dyDescent="0.25">
      <c r="A10" s="132"/>
      <c r="B10" s="132"/>
      <c r="C10" s="133"/>
      <c r="D10" s="132"/>
      <c r="E10" s="134"/>
      <c r="F10" s="135"/>
      <c r="G10" s="135"/>
      <c r="H10" s="135"/>
      <c r="I10" s="136"/>
    </row>
    <row r="11" spans="1:18" ht="15.75" thickBot="1" x14ac:dyDescent="0.3">
      <c r="A11" s="137" t="s">
        <v>23</v>
      </c>
      <c r="B11" s="138"/>
      <c r="C11" s="138"/>
      <c r="D11" s="138"/>
      <c r="E11" s="138"/>
      <c r="F11" s="138"/>
      <c r="G11" s="138"/>
      <c r="H11" s="138"/>
      <c r="I11" s="136"/>
    </row>
    <row r="12" spans="1:18" s="139" customFormat="1" x14ac:dyDescent="0.25">
      <c r="B12" s="140"/>
      <c r="C12" s="141"/>
      <c r="D12" s="142"/>
      <c r="E12" s="143"/>
      <c r="F12" s="144"/>
      <c r="G12" s="144"/>
    </row>
    <row r="13" spans="1:18" s="139" customFormat="1" ht="15.75" thickBot="1" x14ac:dyDescent="0.3">
      <c r="A13" s="137" t="s">
        <v>58</v>
      </c>
      <c r="B13" s="145"/>
      <c r="C13" s="146"/>
      <c r="D13" s="147"/>
      <c r="E13" s="148"/>
      <c r="F13" s="144"/>
      <c r="G13" s="144"/>
    </row>
    <row r="14" spans="1:18" s="139" customFormat="1" x14ac:dyDescent="0.25">
      <c r="A14" s="149" t="s">
        <v>6</v>
      </c>
      <c r="B14" s="149" t="s">
        <v>45</v>
      </c>
      <c r="C14" s="141" t="s">
        <v>50</v>
      </c>
      <c r="D14" s="401" t="s">
        <v>51</v>
      </c>
      <c r="E14" s="401"/>
      <c r="F14" s="144"/>
      <c r="G14" s="144"/>
    </row>
    <row r="15" spans="1:18" s="139" customFormat="1" ht="15.75" thickBot="1" x14ac:dyDescent="0.3">
      <c r="A15" s="150"/>
      <c r="B15" s="150" t="s">
        <v>60</v>
      </c>
      <c r="C15" s="146" t="s">
        <v>14</v>
      </c>
      <c r="D15" s="150" t="s">
        <v>2</v>
      </c>
      <c r="E15" s="150" t="s">
        <v>5</v>
      </c>
      <c r="F15" s="144"/>
      <c r="G15" s="144"/>
    </row>
    <row r="16" spans="1:18" s="139" customFormat="1" ht="15.75" thickBot="1" x14ac:dyDescent="0.3">
      <c r="A16" s="149" t="s">
        <v>59</v>
      </c>
      <c r="B16" s="151">
        <f>'DE_2 - Det Wtrshed Info'!D49</f>
        <v>99</v>
      </c>
      <c r="C16" s="152">
        <v>1.25</v>
      </c>
      <c r="D16" s="153">
        <v>1.82</v>
      </c>
      <c r="E16" s="154">
        <v>4254</v>
      </c>
      <c r="F16" s="144"/>
      <c r="G16" s="144"/>
    </row>
    <row r="17" spans="1:18" s="139" customFormat="1" ht="15.75" thickTop="1" x14ac:dyDescent="0.25">
      <c r="B17" s="155"/>
      <c r="C17" s="133"/>
      <c r="D17" s="142"/>
      <c r="E17" s="143"/>
      <c r="F17" s="144"/>
      <c r="G17" s="144"/>
    </row>
    <row r="18" spans="1:18" ht="15.75" thickBot="1" x14ac:dyDescent="0.3">
      <c r="A18" s="137" t="s">
        <v>61</v>
      </c>
      <c r="B18" s="138"/>
      <c r="C18" s="138"/>
      <c r="D18" s="138"/>
      <c r="E18" s="138"/>
      <c r="F18" s="138"/>
      <c r="G18" s="138"/>
      <c r="H18" s="138"/>
      <c r="I18" s="136"/>
      <c r="J18" s="139" t="s">
        <v>131</v>
      </c>
    </row>
    <row r="19" spans="1:18" s="139" customFormat="1" ht="15.75" thickBot="1" x14ac:dyDescent="0.3">
      <c r="B19" s="155" t="s">
        <v>326</v>
      </c>
      <c r="C19" s="156">
        <v>8</v>
      </c>
      <c r="D19" s="142" t="s">
        <v>14</v>
      </c>
      <c r="E19" s="157" t="s">
        <v>380</v>
      </c>
      <c r="F19" s="158"/>
      <c r="G19" s="158"/>
      <c r="H19" s="159"/>
      <c r="J19" s="139" t="s">
        <v>327</v>
      </c>
    </row>
    <row r="20" spans="1:18" s="139" customFormat="1" ht="15.75" thickBot="1" x14ac:dyDescent="0.3">
      <c r="B20" s="155" t="s">
        <v>62</v>
      </c>
      <c r="C20" s="160">
        <f>IF(J20&gt;0,J20,PI()*(C19/12)^2/4)</f>
        <v>0.3490658503988659</v>
      </c>
      <c r="D20" s="142" t="s">
        <v>63</v>
      </c>
      <c r="E20" s="161" t="str">
        <f>IF(J20=0," ","MANUAL")</f>
        <v xml:space="preserve"> </v>
      </c>
      <c r="F20" s="144"/>
      <c r="G20" s="144"/>
      <c r="J20" s="162">
        <v>0</v>
      </c>
    </row>
    <row r="21" spans="1:18" s="139" customFormat="1" x14ac:dyDescent="0.25">
      <c r="B21" s="155" t="s">
        <v>64</v>
      </c>
      <c r="C21" s="160">
        <f>D16/C20</f>
        <v>5.2139159356904914</v>
      </c>
      <c r="D21" s="142" t="s">
        <v>65</v>
      </c>
      <c r="E21" s="143" t="s">
        <v>66</v>
      </c>
      <c r="F21" s="144"/>
      <c r="G21" s="163" t="str">
        <f>IF(C21&lt;=10,"OK","NO")</f>
        <v>OK</v>
      </c>
    </row>
    <row r="22" spans="1:18" s="139" customFormat="1" x14ac:dyDescent="0.25">
      <c r="B22" s="155"/>
      <c r="C22" s="133"/>
      <c r="D22" s="142"/>
      <c r="E22" s="143"/>
      <c r="F22" s="144"/>
      <c r="G22" s="144"/>
      <c r="R22" s="16"/>
    </row>
    <row r="23" spans="1:18" ht="15.75" thickBot="1" x14ac:dyDescent="0.3">
      <c r="A23" s="137" t="s">
        <v>67</v>
      </c>
      <c r="B23" s="138"/>
      <c r="C23" s="138"/>
      <c r="D23" s="138"/>
      <c r="E23" s="138"/>
      <c r="F23" s="138"/>
      <c r="G23" s="138"/>
      <c r="H23" s="138"/>
      <c r="I23" s="136"/>
    </row>
    <row r="24" spans="1:18" s="139" customFormat="1" x14ac:dyDescent="0.25">
      <c r="B24" s="155" t="s">
        <v>310</v>
      </c>
      <c r="C24" s="164">
        <f>(D16/(0.6*C20))^2/(2*32.2)</f>
        <v>1.1725724372173589</v>
      </c>
      <c r="D24" s="142" t="s">
        <v>15</v>
      </c>
      <c r="E24" s="143" t="s">
        <v>309</v>
      </c>
      <c r="F24" s="144"/>
      <c r="G24" s="144"/>
    </row>
    <row r="25" spans="1:18" s="139" customFormat="1" ht="15.75" thickBot="1" x14ac:dyDescent="0.3">
      <c r="B25" s="155" t="s">
        <v>311</v>
      </c>
      <c r="C25" s="165">
        <v>1.25</v>
      </c>
      <c r="D25" s="142" t="s">
        <v>15</v>
      </c>
      <c r="E25" s="143"/>
      <c r="F25" s="144"/>
      <c r="G25" s="144"/>
      <c r="J25" s="139" t="s">
        <v>131</v>
      </c>
    </row>
    <row r="26" spans="1:18" s="139" customFormat="1" ht="15.75" thickBot="1" x14ac:dyDescent="0.3">
      <c r="A26" s="166"/>
      <c r="B26" s="167" t="s">
        <v>381</v>
      </c>
      <c r="C26" s="168">
        <v>100</v>
      </c>
      <c r="D26" s="142"/>
      <c r="E26" s="143"/>
      <c r="F26" s="144"/>
      <c r="G26" s="144"/>
      <c r="J26" s="139" t="s">
        <v>403</v>
      </c>
    </row>
    <row r="27" spans="1:18" s="139" customFormat="1" ht="15.75" thickBot="1" x14ac:dyDescent="0.3">
      <c r="A27" s="166"/>
      <c r="B27" s="167" t="s">
        <v>402</v>
      </c>
      <c r="C27" s="169">
        <f>IF(J27=0,C26+C19/24,J27)</f>
        <v>100.33333333333333</v>
      </c>
      <c r="D27" s="161" t="str">
        <f>IF(J27=0," ","MANUAL")</f>
        <v xml:space="preserve"> </v>
      </c>
      <c r="F27" s="144"/>
      <c r="G27" s="144"/>
      <c r="J27" s="162">
        <v>0</v>
      </c>
    </row>
    <row r="28" spans="1:18" s="139" customFormat="1" x14ac:dyDescent="0.25">
      <c r="A28" s="166"/>
      <c r="B28" s="167" t="s">
        <v>401</v>
      </c>
      <c r="C28" s="169">
        <f>C27+C25</f>
        <v>101.58333333333333</v>
      </c>
      <c r="D28" s="142"/>
      <c r="E28" s="143"/>
      <c r="F28" s="144"/>
      <c r="G28" s="144"/>
    </row>
    <row r="29" spans="1:18" s="139" customFormat="1" x14ac:dyDescent="0.25">
      <c r="B29" s="155"/>
      <c r="C29" s="160"/>
      <c r="D29" s="142"/>
      <c r="E29" s="143"/>
      <c r="F29" s="144"/>
      <c r="G29" s="144"/>
      <c r="R29" s="170"/>
    </row>
    <row r="30" spans="1:18" ht="15.75" thickBot="1" x14ac:dyDescent="0.3">
      <c r="A30" s="137" t="s">
        <v>68</v>
      </c>
      <c r="B30" s="138"/>
      <c r="C30" s="138"/>
      <c r="D30" s="138"/>
      <c r="E30" s="138"/>
      <c r="F30" s="138"/>
      <c r="G30" s="138"/>
      <c r="H30" s="138"/>
      <c r="I30" s="136"/>
    </row>
    <row r="31" spans="1:18" s="139" customFormat="1" ht="15.75" thickBot="1" x14ac:dyDescent="0.3">
      <c r="C31" s="165" t="s">
        <v>69</v>
      </c>
      <c r="D31" s="165">
        <v>6.61</v>
      </c>
      <c r="E31" s="142" t="s">
        <v>2</v>
      </c>
      <c r="F31" s="144"/>
      <c r="G31" s="144"/>
    </row>
    <row r="32" spans="1:18" s="139" customFormat="1" x14ac:dyDescent="0.25">
      <c r="C32" s="42" t="s">
        <v>70</v>
      </c>
      <c r="D32" s="160">
        <f>D16</f>
        <v>1.82</v>
      </c>
      <c r="E32" s="142" t="s">
        <v>2</v>
      </c>
      <c r="F32" s="144"/>
      <c r="G32" s="144"/>
    </row>
    <row r="33" spans="1:9" s="139" customFormat="1" x14ac:dyDescent="0.25">
      <c r="C33" s="42" t="s">
        <v>314</v>
      </c>
      <c r="D33" s="160">
        <f>D31-D32</f>
        <v>4.79</v>
      </c>
      <c r="E33" s="142" t="s">
        <v>2</v>
      </c>
      <c r="F33" s="144"/>
      <c r="G33" s="144"/>
    </row>
    <row r="34" spans="1:9" s="139" customFormat="1" ht="15.75" thickBot="1" x14ac:dyDescent="0.3">
      <c r="C34" s="42" t="s">
        <v>71</v>
      </c>
      <c r="D34" s="165">
        <v>4</v>
      </c>
      <c r="E34" s="142" t="s">
        <v>15</v>
      </c>
      <c r="F34" s="144"/>
      <c r="G34" s="144"/>
    </row>
    <row r="35" spans="1:9" s="139" customFormat="1" x14ac:dyDescent="0.25">
      <c r="C35" s="42" t="s">
        <v>308</v>
      </c>
      <c r="D35" s="160">
        <f>(D33/(3.3*D34))^(2/3)</f>
        <v>0.50875386487599572</v>
      </c>
      <c r="E35" s="142" t="s">
        <v>15</v>
      </c>
      <c r="F35" s="144"/>
      <c r="G35" s="144"/>
    </row>
    <row r="36" spans="1:9" s="139" customFormat="1" x14ac:dyDescent="0.25">
      <c r="B36" s="42"/>
      <c r="C36" s="160"/>
      <c r="D36" s="142"/>
      <c r="E36" s="143"/>
      <c r="F36" s="144"/>
      <c r="G36" s="144"/>
    </row>
    <row r="37" spans="1:9" ht="15.75" thickBot="1" x14ac:dyDescent="0.3">
      <c r="A37" s="137" t="s">
        <v>72</v>
      </c>
      <c r="B37" s="138"/>
      <c r="C37" s="138"/>
      <c r="D37" s="138"/>
      <c r="E37" s="138"/>
      <c r="F37" s="138"/>
      <c r="G37" s="138"/>
      <c r="H37" s="138"/>
      <c r="I37" s="136"/>
    </row>
    <row r="38" spans="1:9" s="139" customFormat="1" x14ac:dyDescent="0.25">
      <c r="C38" s="155" t="s">
        <v>312</v>
      </c>
      <c r="D38" s="164">
        <f>0.6*C20*(2*32.2*(C25+D35))^0.5</f>
        <v>2.2289692631425657</v>
      </c>
      <c r="E38" s="142" t="s">
        <v>2</v>
      </c>
      <c r="F38" s="144"/>
      <c r="G38" s="144"/>
    </row>
    <row r="39" spans="1:9" s="139" customFormat="1" x14ac:dyDescent="0.25">
      <c r="C39" s="155" t="s">
        <v>313</v>
      </c>
      <c r="D39" s="160">
        <f>D31-D38</f>
        <v>4.3810307368574346</v>
      </c>
      <c r="E39" s="142" t="s">
        <v>2</v>
      </c>
      <c r="F39" s="144"/>
      <c r="G39" s="144"/>
    </row>
    <row r="40" spans="1:9" s="139" customFormat="1" x14ac:dyDescent="0.25">
      <c r="B40" s="155"/>
      <c r="C40" s="160"/>
      <c r="D40" s="142"/>
      <c r="E40" s="143"/>
      <c r="F40" s="144"/>
      <c r="G40" s="144"/>
    </row>
    <row r="41" spans="1:9" s="139" customFormat="1" x14ac:dyDescent="0.25">
      <c r="A41" s="132"/>
      <c r="B41" s="155"/>
      <c r="C41" s="160"/>
      <c r="D41" s="142"/>
      <c r="E41" s="171"/>
      <c r="F41" s="172"/>
      <c r="G41" s="172"/>
      <c r="H41" s="132"/>
    </row>
    <row r="42" spans="1:9" x14ac:dyDescent="0.25">
      <c r="A42" s="173"/>
      <c r="B42" s="135"/>
      <c r="C42" s="135"/>
      <c r="D42" s="135"/>
      <c r="E42" s="135"/>
      <c r="F42" s="135"/>
      <c r="G42" s="135"/>
      <c r="H42" s="135"/>
      <c r="I42" s="136"/>
    </row>
    <row r="43" spans="1:9" s="139" customFormat="1" ht="15.75" thickBot="1" x14ac:dyDescent="0.3">
      <c r="A43" s="132"/>
      <c r="B43" s="155"/>
      <c r="C43" s="133"/>
      <c r="D43" s="142"/>
      <c r="E43" s="171"/>
      <c r="F43" s="172"/>
      <c r="G43" s="172"/>
      <c r="H43" s="132"/>
    </row>
    <row r="44" spans="1:9" s="139" customFormat="1" x14ac:dyDescent="0.25">
      <c r="A44" s="49" t="s">
        <v>121</v>
      </c>
      <c r="B44" s="49"/>
      <c r="C44" s="49"/>
      <c r="D44" s="49"/>
      <c r="E44" s="49"/>
      <c r="F44" s="49"/>
      <c r="G44" s="49"/>
      <c r="H44" s="49"/>
    </row>
    <row r="45" spans="1:9" s="139" customFormat="1" x14ac:dyDescent="0.25">
      <c r="A45" s="28" t="s">
        <v>104</v>
      </c>
      <c r="B45" s="28"/>
      <c r="C45" s="28"/>
      <c r="D45" s="28"/>
      <c r="E45" s="28"/>
      <c r="F45" s="28"/>
      <c r="G45" s="28"/>
      <c r="H45" s="42" t="str">
        <f>'CL_1 - Project Review'!I57</f>
        <v>IDALS: Issue Date: 01/12/2023</v>
      </c>
    </row>
    <row r="46" spans="1:9" x14ac:dyDescent="0.25">
      <c r="A46" s="173"/>
      <c r="B46" s="135"/>
      <c r="C46" s="135"/>
      <c r="D46" s="135"/>
      <c r="E46" s="135"/>
      <c r="F46" s="135"/>
      <c r="G46" s="135"/>
      <c r="H46" s="135"/>
      <c r="I46" s="136"/>
    </row>
    <row r="47" spans="1:9" s="139" customFormat="1" x14ac:dyDescent="0.25">
      <c r="A47" s="132"/>
      <c r="B47" s="155"/>
      <c r="C47" s="174"/>
      <c r="D47" s="142"/>
      <c r="E47" s="171"/>
      <c r="F47" s="172"/>
      <c r="G47" s="172"/>
      <c r="H47" s="132"/>
    </row>
    <row r="48" spans="1:9" s="139" customFormat="1" x14ac:dyDescent="0.25">
      <c r="A48" s="132"/>
      <c r="B48" s="133"/>
      <c r="C48" s="133"/>
      <c r="D48" s="133"/>
      <c r="E48" s="172"/>
      <c r="F48" s="172"/>
      <c r="G48" s="172"/>
      <c r="H48" s="132"/>
    </row>
    <row r="49" spans="1:9" x14ac:dyDescent="0.25">
      <c r="A49" s="173"/>
      <c r="B49" s="135"/>
      <c r="C49" s="135"/>
      <c r="D49" s="135"/>
      <c r="E49" s="135"/>
      <c r="F49" s="135"/>
      <c r="G49" s="135"/>
      <c r="H49" s="135"/>
      <c r="I49" s="136"/>
    </row>
    <row r="50" spans="1:9" s="139" customFormat="1" x14ac:dyDescent="0.25">
      <c r="A50" s="132"/>
      <c r="B50" s="155"/>
      <c r="C50" s="160"/>
      <c r="D50" s="142"/>
      <c r="E50" s="171"/>
      <c r="F50" s="172"/>
      <c r="G50" s="172"/>
      <c r="H50" s="132"/>
    </row>
    <row r="51" spans="1:9" s="139" customFormat="1" x14ac:dyDescent="0.25">
      <c r="A51" s="132"/>
      <c r="B51" s="133"/>
      <c r="C51" s="160"/>
      <c r="D51" s="133"/>
      <c r="E51" s="172"/>
      <c r="F51" s="172"/>
      <c r="G51" s="172"/>
      <c r="H51" s="132"/>
    </row>
    <row r="52" spans="1:9" x14ac:dyDescent="0.25">
      <c r="A52" s="173"/>
      <c r="B52" s="135"/>
      <c r="C52" s="175"/>
      <c r="D52" s="135"/>
      <c r="E52" s="135"/>
      <c r="F52" s="135"/>
      <c r="G52" s="135"/>
      <c r="H52" s="135"/>
      <c r="I52" s="136"/>
    </row>
    <row r="53" spans="1:9" s="139" customFormat="1" x14ac:dyDescent="0.25">
      <c r="A53" s="132"/>
      <c r="B53" s="155"/>
      <c r="C53" s="176"/>
      <c r="D53" s="142"/>
      <c r="E53" s="171"/>
      <c r="F53" s="172"/>
      <c r="G53" s="172"/>
      <c r="H53" s="132"/>
    </row>
    <row r="54" spans="1:9" s="139" customFormat="1" x14ac:dyDescent="0.25">
      <c r="A54" s="132"/>
      <c r="B54" s="155"/>
      <c r="C54" s="176"/>
      <c r="D54" s="142"/>
      <c r="E54" s="171"/>
      <c r="F54" s="172"/>
      <c r="G54" s="172"/>
      <c r="H54" s="132"/>
    </row>
    <row r="55" spans="1:9" s="139" customFormat="1" x14ac:dyDescent="0.25">
      <c r="A55" s="132"/>
      <c r="B55" s="155"/>
      <c r="C55" s="176"/>
      <c r="D55" s="142"/>
      <c r="E55" s="171"/>
      <c r="F55" s="172"/>
      <c r="G55" s="172"/>
      <c r="H55" s="132"/>
    </row>
    <row r="56" spans="1:9" s="139" customFormat="1" x14ac:dyDescent="0.25">
      <c r="A56" s="132"/>
      <c r="B56" s="155"/>
      <c r="C56" s="160"/>
      <c r="D56" s="142"/>
      <c r="E56" s="171"/>
      <c r="F56" s="172"/>
      <c r="G56" s="172"/>
      <c r="H56" s="132"/>
    </row>
    <row r="57" spans="1:9" s="139" customFormat="1" x14ac:dyDescent="0.25">
      <c r="A57" s="132"/>
      <c r="B57" s="133"/>
      <c r="C57" s="133"/>
      <c r="D57" s="133"/>
      <c r="E57" s="172"/>
      <c r="F57" s="172"/>
      <c r="G57" s="172"/>
      <c r="H57" s="132"/>
    </row>
    <row r="58" spans="1:9" x14ac:dyDescent="0.25">
      <c r="A58" s="173"/>
      <c r="B58" s="135"/>
      <c r="C58" s="135"/>
      <c r="D58" s="135"/>
      <c r="E58" s="135"/>
      <c r="F58" s="135"/>
      <c r="G58" s="135"/>
      <c r="H58" s="135"/>
      <c r="I58" s="136"/>
    </row>
    <row r="59" spans="1:9" x14ac:dyDescent="0.25">
      <c r="A59" s="173"/>
      <c r="B59" s="155"/>
      <c r="C59" s="177"/>
      <c r="D59" s="142"/>
      <c r="E59" s="142"/>
      <c r="F59" s="135"/>
      <c r="G59" s="135"/>
      <c r="H59" s="135"/>
      <c r="I59" s="136"/>
    </row>
    <row r="60" spans="1:9" s="139" customFormat="1" x14ac:dyDescent="0.25">
      <c r="A60" s="132"/>
      <c r="B60" s="155"/>
      <c r="C60" s="177"/>
      <c r="D60" s="142"/>
      <c r="E60" s="171"/>
      <c r="F60" s="172"/>
      <c r="G60" s="172"/>
      <c r="H60" s="132"/>
    </row>
    <row r="61" spans="1:9" s="139" customFormat="1" x14ac:dyDescent="0.25">
      <c r="A61" s="132"/>
      <c r="B61" s="155"/>
      <c r="C61" s="178"/>
      <c r="D61" s="142"/>
      <c r="E61" s="171"/>
      <c r="F61" s="172"/>
      <c r="G61" s="172"/>
      <c r="H61" s="132"/>
    </row>
    <row r="62" spans="1:9" s="139" customFormat="1" x14ac:dyDescent="0.25">
      <c r="A62" s="132"/>
      <c r="B62" s="133"/>
      <c r="C62" s="133"/>
      <c r="D62" s="133"/>
      <c r="E62" s="172"/>
      <c r="F62" s="172"/>
      <c r="G62" s="172"/>
      <c r="H62" s="132"/>
    </row>
    <row r="63" spans="1:9" x14ac:dyDescent="0.25">
      <c r="A63" s="173"/>
      <c r="B63" s="135"/>
      <c r="C63" s="135"/>
      <c r="D63" s="135"/>
      <c r="E63" s="135"/>
      <c r="F63" s="135"/>
      <c r="G63" s="135"/>
      <c r="H63" s="135"/>
      <c r="I63" s="136"/>
    </row>
    <row r="64" spans="1:9" s="139" customFormat="1" x14ac:dyDescent="0.25">
      <c r="A64" s="132"/>
      <c r="B64" s="155"/>
      <c r="C64" s="172"/>
      <c r="D64" s="142"/>
      <c r="E64" s="172"/>
      <c r="F64" s="172"/>
      <c r="G64" s="172"/>
      <c r="H64" s="179"/>
    </row>
    <row r="65" spans="1:8" s="139" customFormat="1" x14ac:dyDescent="0.25">
      <c r="A65" s="132"/>
      <c r="B65" s="133"/>
      <c r="C65" s="133"/>
      <c r="D65" s="133"/>
      <c r="E65" s="172"/>
      <c r="F65" s="172"/>
      <c r="G65" s="172"/>
      <c r="H65" s="132"/>
    </row>
    <row r="66" spans="1:8" s="139" customFormat="1" x14ac:dyDescent="0.25">
      <c r="A66" s="173"/>
      <c r="B66" s="135"/>
      <c r="C66" s="135"/>
      <c r="D66" s="135"/>
      <c r="E66" s="135"/>
      <c r="F66" s="135"/>
      <c r="G66" s="135"/>
      <c r="H66" s="135"/>
    </row>
    <row r="67" spans="1:8" s="139" customFormat="1" x14ac:dyDescent="0.25">
      <c r="A67" s="132"/>
      <c r="B67" s="155"/>
      <c r="C67" s="174"/>
      <c r="D67" s="142"/>
      <c r="E67" s="171"/>
      <c r="F67" s="172"/>
      <c r="G67" s="172"/>
      <c r="H67" s="132"/>
    </row>
    <row r="68" spans="1:8" s="139" customFormat="1" x14ac:dyDescent="0.25">
      <c r="A68" s="132"/>
      <c r="B68" s="155"/>
      <c r="C68" s="176"/>
      <c r="D68" s="142"/>
      <c r="E68" s="172"/>
      <c r="F68" s="172"/>
      <c r="G68" s="172"/>
      <c r="H68" s="132"/>
    </row>
    <row r="69" spans="1:8" s="139" customFormat="1" x14ac:dyDescent="0.25">
      <c r="A69" s="132"/>
      <c r="B69" s="155"/>
      <c r="C69" s="176"/>
      <c r="D69" s="180"/>
      <c r="E69" s="160"/>
      <c r="F69" s="160"/>
      <c r="G69" s="160"/>
      <c r="H69" s="160"/>
    </row>
    <row r="70" spans="1:8" s="139" customFormat="1" x14ac:dyDescent="0.25">
      <c r="A70" s="132"/>
      <c r="B70" s="133"/>
      <c r="C70" s="133"/>
      <c r="D70" s="155"/>
      <c r="E70" s="172"/>
      <c r="F70" s="172"/>
      <c r="G70" s="172"/>
      <c r="H70" s="132"/>
    </row>
    <row r="71" spans="1:8" s="139" customFormat="1" x14ac:dyDescent="0.25">
      <c r="A71" s="173"/>
      <c r="B71" s="135"/>
      <c r="C71" s="135"/>
      <c r="D71" s="135"/>
      <c r="E71" s="135"/>
      <c r="F71" s="135"/>
      <c r="G71" s="135"/>
      <c r="H71" s="135"/>
    </row>
    <row r="72" spans="1:8" s="139" customFormat="1" x14ac:dyDescent="0.25">
      <c r="A72" s="132"/>
      <c r="B72" s="155"/>
      <c r="C72" s="174"/>
      <c r="D72" s="142"/>
      <c r="E72" s="171"/>
      <c r="F72" s="172"/>
      <c r="G72" s="172"/>
      <c r="H72" s="132"/>
    </row>
    <row r="73" spans="1:8" s="139" customFormat="1" x14ac:dyDescent="0.25">
      <c r="A73" s="132"/>
      <c r="B73" s="133"/>
      <c r="C73" s="133"/>
      <c r="D73" s="133"/>
      <c r="E73" s="172"/>
      <c r="F73" s="172"/>
      <c r="G73" s="172"/>
      <c r="H73" s="132"/>
    </row>
    <row r="74" spans="1:8" s="139" customFormat="1" x14ac:dyDescent="0.25">
      <c r="A74" s="173"/>
      <c r="B74" s="135"/>
      <c r="C74" s="135"/>
      <c r="D74" s="135"/>
      <c r="E74" s="135"/>
      <c r="F74" s="135"/>
      <c r="G74" s="135"/>
      <c r="H74" s="135"/>
    </row>
    <row r="75" spans="1:8" s="139" customFormat="1" x14ac:dyDescent="0.25">
      <c r="A75" s="132"/>
      <c r="B75" s="155"/>
      <c r="C75" s="174"/>
      <c r="D75" s="142"/>
      <c r="E75" s="171"/>
      <c r="F75" s="172"/>
      <c r="G75" s="172"/>
      <c r="H75" s="132"/>
    </row>
    <row r="76" spans="1:8" s="139" customFormat="1" x14ac:dyDescent="0.25">
      <c r="A76" s="132"/>
      <c r="B76" s="133"/>
      <c r="C76" s="133"/>
      <c r="D76" s="133"/>
      <c r="E76" s="172"/>
      <c r="F76" s="172"/>
      <c r="G76" s="172"/>
      <c r="H76" s="132"/>
    </row>
    <row r="77" spans="1:8" s="139" customFormat="1" x14ac:dyDescent="0.25">
      <c r="A77" s="132"/>
      <c r="B77" s="133"/>
      <c r="C77" s="133"/>
      <c r="D77" s="133"/>
      <c r="E77" s="172"/>
      <c r="F77" s="172"/>
      <c r="G77" s="172"/>
      <c r="H77" s="132"/>
    </row>
    <row r="78" spans="1:8" s="139" customFormat="1" x14ac:dyDescent="0.25">
      <c r="B78" s="136"/>
      <c r="C78" s="136"/>
      <c r="D78" s="136"/>
      <c r="E78" s="144"/>
      <c r="F78" s="144"/>
      <c r="G78" s="144"/>
    </row>
    <row r="79" spans="1:8" s="139" customFormat="1" x14ac:dyDescent="0.25">
      <c r="B79" s="136"/>
      <c r="C79" s="136"/>
      <c r="D79" s="136"/>
      <c r="E79" s="144"/>
      <c r="F79" s="144"/>
      <c r="G79" s="144"/>
    </row>
    <row r="80" spans="1:8" s="139" customFormat="1" x14ac:dyDescent="0.25">
      <c r="B80" s="136"/>
      <c r="C80" s="136"/>
      <c r="D80" s="136"/>
      <c r="E80" s="144"/>
      <c r="F80" s="144"/>
      <c r="G80" s="144"/>
    </row>
    <row r="81" spans="2:7" s="139" customFormat="1" x14ac:dyDescent="0.25">
      <c r="B81" s="136"/>
      <c r="C81" s="136"/>
      <c r="D81" s="136"/>
      <c r="E81" s="144"/>
      <c r="F81" s="144"/>
      <c r="G81" s="144"/>
    </row>
    <row r="82" spans="2:7" s="139" customFormat="1" x14ac:dyDescent="0.25">
      <c r="B82" s="136"/>
      <c r="C82" s="136"/>
      <c r="D82" s="136"/>
      <c r="E82" s="144"/>
      <c r="F82" s="144"/>
      <c r="G82" s="144"/>
    </row>
    <row r="83" spans="2:7" s="139" customFormat="1" x14ac:dyDescent="0.25">
      <c r="B83" s="136"/>
      <c r="C83" s="136"/>
      <c r="D83" s="136"/>
      <c r="E83" s="144"/>
      <c r="F83" s="144"/>
      <c r="G83" s="144"/>
    </row>
    <row r="84" spans="2:7" s="139" customFormat="1" x14ac:dyDescent="0.25">
      <c r="B84" s="136"/>
      <c r="C84" s="136"/>
      <c r="D84" s="136"/>
      <c r="E84" s="144"/>
      <c r="F84" s="144"/>
      <c r="G84" s="144"/>
    </row>
    <row r="85" spans="2:7" s="139" customFormat="1" x14ac:dyDescent="0.25">
      <c r="B85" s="136"/>
      <c r="C85" s="136"/>
      <c r="D85" s="136"/>
      <c r="E85" s="144"/>
      <c r="F85" s="144"/>
      <c r="G85" s="144"/>
    </row>
    <row r="86" spans="2:7" s="139" customFormat="1" x14ac:dyDescent="0.25">
      <c r="B86" s="136"/>
      <c r="C86" s="136"/>
      <c r="D86" s="136"/>
      <c r="E86" s="144"/>
      <c r="F86" s="144"/>
      <c r="G86" s="144"/>
    </row>
    <row r="87" spans="2:7" s="139" customFormat="1" x14ac:dyDescent="0.25">
      <c r="B87" s="136"/>
      <c r="C87" s="136"/>
      <c r="D87" s="136"/>
      <c r="E87" s="144"/>
      <c r="F87" s="144"/>
      <c r="G87" s="144"/>
    </row>
    <row r="88" spans="2:7" s="139" customFormat="1" x14ac:dyDescent="0.25">
      <c r="B88" s="136"/>
      <c r="C88" s="136"/>
      <c r="D88" s="136"/>
      <c r="E88" s="144"/>
      <c r="F88" s="144"/>
      <c r="G88" s="144"/>
    </row>
    <row r="89" spans="2:7" s="139" customFormat="1" x14ac:dyDescent="0.25">
      <c r="B89" s="136"/>
      <c r="C89" s="136"/>
      <c r="D89" s="136"/>
      <c r="E89" s="144"/>
      <c r="F89" s="144"/>
      <c r="G89" s="144"/>
    </row>
    <row r="90" spans="2:7" s="139" customFormat="1" x14ac:dyDescent="0.25">
      <c r="B90" s="136"/>
      <c r="C90" s="136"/>
      <c r="D90" s="136"/>
      <c r="E90" s="144"/>
      <c r="F90" s="144"/>
      <c r="G90" s="144"/>
    </row>
    <row r="91" spans="2:7" s="139" customFormat="1" x14ac:dyDescent="0.25">
      <c r="B91" s="136"/>
      <c r="C91" s="136"/>
      <c r="D91" s="136"/>
      <c r="E91" s="144"/>
      <c r="F91" s="144"/>
      <c r="G91" s="144"/>
    </row>
    <row r="92" spans="2:7" s="139" customFormat="1" x14ac:dyDescent="0.25">
      <c r="B92" s="136"/>
      <c r="C92" s="136"/>
      <c r="D92" s="136"/>
      <c r="E92" s="144"/>
      <c r="F92" s="144"/>
      <c r="G92" s="144"/>
    </row>
    <row r="93" spans="2:7" s="139" customFormat="1" x14ac:dyDescent="0.25">
      <c r="B93" s="136"/>
      <c r="C93" s="136"/>
      <c r="D93" s="136"/>
      <c r="E93" s="144"/>
      <c r="F93" s="144"/>
      <c r="G93" s="144"/>
    </row>
    <row r="94" spans="2:7" s="139" customFormat="1" x14ac:dyDescent="0.25">
      <c r="B94" s="136"/>
      <c r="C94" s="136"/>
      <c r="D94" s="136"/>
      <c r="E94" s="144"/>
      <c r="F94" s="144"/>
      <c r="G94" s="144"/>
    </row>
    <row r="95" spans="2:7" s="139" customFormat="1" x14ac:dyDescent="0.25">
      <c r="B95" s="136"/>
      <c r="C95" s="136"/>
      <c r="D95" s="136"/>
      <c r="E95" s="144"/>
      <c r="F95" s="144"/>
      <c r="G95" s="144"/>
    </row>
    <row r="96" spans="2:7" s="139" customFormat="1" x14ac:dyDescent="0.25">
      <c r="B96" s="136"/>
      <c r="C96" s="136"/>
      <c r="D96" s="136"/>
      <c r="E96" s="144"/>
      <c r="F96" s="144"/>
      <c r="G96" s="144"/>
    </row>
    <row r="97" spans="2:7" s="139" customFormat="1" x14ac:dyDescent="0.25">
      <c r="B97" s="136"/>
      <c r="C97" s="136"/>
      <c r="D97" s="136"/>
      <c r="E97" s="144"/>
      <c r="F97" s="144"/>
      <c r="G97" s="144"/>
    </row>
    <row r="98" spans="2:7" s="139" customFormat="1" x14ac:dyDescent="0.25">
      <c r="B98" s="136"/>
      <c r="C98" s="136"/>
      <c r="D98" s="136"/>
      <c r="E98" s="144"/>
      <c r="F98" s="144"/>
      <c r="G98" s="144"/>
    </row>
  </sheetData>
  <sheetProtection algorithmName="SHA-512" hashValue="xisu1dXBV8Zfxqx9IbGsL3FsX2dEnEG3Uj97DvmGyFeZvcvvlZwLuKb8zHeMuwVVdISsSKWF9M6aFwzHPWQbdg==" saltValue="w1cCdZdRLEvSwLn01qQy4w==" spinCount="100000" sheet="1" selectLockedCells="1"/>
  <mergeCells count="9">
    <mergeCell ref="B3:H3"/>
    <mergeCell ref="A2:H2"/>
    <mergeCell ref="D14:E14"/>
    <mergeCell ref="A1:H1"/>
    <mergeCell ref="A9:H9"/>
    <mergeCell ref="B7:D7"/>
    <mergeCell ref="F7:H7"/>
    <mergeCell ref="B5:D5"/>
    <mergeCell ref="F5:H5"/>
  </mergeCells>
  <conditionalFormatting sqref="G21">
    <cfRule type="cellIs" dxfId="17" priority="1" operator="equal">
      <formula>"OK"</formula>
    </cfRule>
  </conditionalFormatting>
  <pageMargins left="0.7" right="0.7" top="0.75" bottom="0.75" header="0.3" footer="0.3"/>
  <pageSetup scale="8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866AE-39BF-4BEE-9959-235C334FC28C}">
  <sheetPr>
    <tabColor rgb="FF92D050"/>
    <pageSetUpPr fitToPage="1"/>
  </sheetPr>
  <dimension ref="A1:R90"/>
  <sheetViews>
    <sheetView view="pageBreakPreview" zoomScaleNormal="100" zoomScaleSheetLayoutView="100" workbookViewId="0">
      <selection activeCell="D14" sqref="D14"/>
    </sheetView>
  </sheetViews>
  <sheetFormatPr defaultColWidth="9.140625" defaultRowHeight="15" x14ac:dyDescent="0.25"/>
  <cols>
    <col min="1" max="1" width="16" style="28" customWidth="1"/>
    <col min="2" max="7" width="13.28515625" style="28" customWidth="1"/>
    <col min="8" max="8" width="13.28515625" style="139" customWidth="1"/>
    <col min="9" max="9" width="9.140625" style="139"/>
    <col min="10" max="16384" width="9.140625" style="28"/>
  </cols>
  <sheetData>
    <row r="1" spans="1:18" s="63" customFormat="1" ht="12.75" x14ac:dyDescent="0.2">
      <c r="A1" s="384" t="s">
        <v>85</v>
      </c>
      <c r="B1" s="384"/>
      <c r="C1" s="384"/>
      <c r="D1" s="384"/>
      <c r="E1" s="384"/>
      <c r="F1" s="384"/>
      <c r="G1" s="384"/>
      <c r="H1" s="384"/>
      <c r="I1" s="62"/>
      <c r="J1" s="62"/>
      <c r="L1" s="64"/>
    </row>
    <row r="2" spans="1:18" s="63" customFormat="1" ht="12.75" x14ac:dyDescent="0.2">
      <c r="A2" s="397" t="s">
        <v>356</v>
      </c>
      <c r="B2" s="397"/>
      <c r="C2" s="397"/>
      <c r="D2" s="397"/>
      <c r="E2" s="397"/>
      <c r="F2" s="397"/>
      <c r="G2" s="397"/>
      <c r="H2" s="397"/>
      <c r="I2" s="65"/>
      <c r="J2" s="65"/>
      <c r="L2" s="64"/>
    </row>
    <row r="3" spans="1:18" s="67" customFormat="1" ht="12.75" x14ac:dyDescent="0.2">
      <c r="A3" s="66" t="s">
        <v>1</v>
      </c>
      <c r="B3" s="396" t="str">
        <f>'CL_1 - Project Review'!C3</f>
        <v>Project Name</v>
      </c>
      <c r="C3" s="396"/>
      <c r="D3" s="396"/>
      <c r="E3" s="396"/>
      <c r="F3" s="396"/>
      <c r="G3" s="396"/>
      <c r="H3" s="396"/>
      <c r="L3" s="68"/>
    </row>
    <row r="4" spans="1:18" s="67" customFormat="1" ht="3.6" customHeight="1" x14ac:dyDescent="0.2">
      <c r="A4" s="66"/>
      <c r="B4" s="69"/>
      <c r="C4" s="69"/>
      <c r="D4" s="69"/>
      <c r="E4" s="69"/>
      <c r="F4" s="69"/>
      <c r="G4" s="69"/>
      <c r="H4" s="69"/>
      <c r="L4" s="68"/>
    </row>
    <row r="5" spans="1:18" s="70" customFormat="1" ht="12.75" x14ac:dyDescent="0.2">
      <c r="A5" s="66" t="s">
        <v>78</v>
      </c>
      <c r="B5" s="396" t="str">
        <f>'CL_1 - Project Review'!C5</f>
        <v>Applicant name</v>
      </c>
      <c r="C5" s="396"/>
      <c r="D5" s="396"/>
      <c r="E5" s="66" t="s">
        <v>0</v>
      </c>
      <c r="F5" s="399">
        <f ca="1">'CL_1 - Project Review'!G5</f>
        <v>45644</v>
      </c>
      <c r="G5" s="399"/>
      <c r="H5" s="399"/>
      <c r="L5" s="68"/>
    </row>
    <row r="6" spans="1:18" s="70" customFormat="1" ht="3" customHeight="1" x14ac:dyDescent="0.2">
      <c r="A6" s="66"/>
      <c r="B6" s="69"/>
      <c r="C6" s="69"/>
      <c r="D6" s="69"/>
      <c r="E6" s="66"/>
      <c r="F6" s="69"/>
      <c r="G6" s="69"/>
      <c r="H6" s="69"/>
      <c r="L6" s="68"/>
    </row>
    <row r="7" spans="1:18" s="70" customFormat="1" ht="12.75" x14ac:dyDescent="0.2">
      <c r="A7" s="66" t="s">
        <v>80</v>
      </c>
      <c r="B7" s="396" t="str">
        <f>'CL_1 - Project Review'!C7</f>
        <v>Designer name</v>
      </c>
      <c r="C7" s="396"/>
      <c r="D7" s="396"/>
      <c r="E7" s="66" t="s">
        <v>82</v>
      </c>
      <c r="F7" s="396" t="str">
        <f>'CL_1 - Project Review'!G7</f>
        <v>Enter City or County</v>
      </c>
      <c r="G7" s="396"/>
      <c r="H7" s="396"/>
      <c r="L7" s="68"/>
    </row>
    <row r="8" spans="1:18" s="70" customFormat="1" ht="3.6" customHeight="1" x14ac:dyDescent="0.2">
      <c r="A8" s="66"/>
      <c r="B8" s="66"/>
      <c r="C8" s="69"/>
      <c r="D8" s="69"/>
      <c r="E8" s="69"/>
      <c r="F8" s="66"/>
      <c r="G8" s="69"/>
      <c r="H8" s="69"/>
      <c r="I8" s="69"/>
      <c r="L8" s="68"/>
    </row>
    <row r="9" spans="1:18" s="70" customFormat="1" ht="12.75" x14ac:dyDescent="0.2">
      <c r="A9" s="403" t="s">
        <v>84</v>
      </c>
      <c r="B9" s="403"/>
      <c r="C9" s="403"/>
      <c r="D9" s="403"/>
      <c r="E9" s="403"/>
      <c r="F9" s="403"/>
      <c r="G9" s="403"/>
      <c r="H9" s="403"/>
      <c r="I9" s="71"/>
      <c r="J9" s="71"/>
      <c r="L9" s="68"/>
    </row>
    <row r="10" spans="1:18" x14ac:dyDescent="0.25">
      <c r="A10" s="132"/>
      <c r="B10" s="132"/>
      <c r="C10" s="133"/>
      <c r="D10" s="132"/>
      <c r="E10" s="134"/>
      <c r="F10" s="135"/>
      <c r="G10" s="135"/>
      <c r="H10" s="135"/>
      <c r="I10" s="136"/>
    </row>
    <row r="11" spans="1:18" ht="15.75" thickBot="1" x14ac:dyDescent="0.3">
      <c r="A11" s="137" t="s">
        <v>334</v>
      </c>
      <c r="B11" s="138"/>
      <c r="C11" s="138"/>
      <c r="D11" s="138"/>
      <c r="E11" s="138"/>
      <c r="F11" s="138"/>
      <c r="G11" s="138"/>
      <c r="H11" s="138"/>
      <c r="I11" s="136"/>
    </row>
    <row r="12" spans="1:18" s="139" customFormat="1" x14ac:dyDescent="0.25">
      <c r="B12" s="140"/>
      <c r="C12" s="141"/>
      <c r="D12" s="142"/>
      <c r="E12" s="143"/>
      <c r="F12" s="144"/>
      <c r="G12" s="144"/>
      <c r="R12" s="16"/>
    </row>
    <row r="13" spans="1:18" s="139" customFormat="1" ht="15.75" thickBot="1" x14ac:dyDescent="0.3">
      <c r="B13" s="132" t="s">
        <v>337</v>
      </c>
      <c r="C13" s="133" t="s">
        <v>40</v>
      </c>
      <c r="D13" s="132" t="s">
        <v>338</v>
      </c>
      <c r="E13" s="181" t="s">
        <v>335</v>
      </c>
      <c r="F13" s="144" t="s">
        <v>339</v>
      </c>
      <c r="G13" s="144" t="s">
        <v>335</v>
      </c>
      <c r="H13" s="139" t="s">
        <v>336</v>
      </c>
    </row>
    <row r="14" spans="1:18" s="139" customFormat="1" ht="15.75" thickBot="1" x14ac:dyDescent="0.3">
      <c r="B14" s="182">
        <f>D14*F14*H14</f>
        <v>1400</v>
      </c>
      <c r="C14" s="133"/>
      <c r="D14" s="152">
        <v>2</v>
      </c>
      <c r="E14" s="143"/>
      <c r="F14" s="154">
        <f>'DWS_Report Form'!C51</f>
        <v>2000</v>
      </c>
      <c r="G14" s="144"/>
      <c r="H14" s="183">
        <v>0.35</v>
      </c>
    </row>
    <row r="15" spans="1:18" s="139" customFormat="1" ht="15.75" thickTop="1" x14ac:dyDescent="0.25">
      <c r="B15" s="184"/>
      <c r="C15" s="133"/>
      <c r="D15" s="184"/>
      <c r="E15" s="185"/>
      <c r="F15" s="186"/>
      <c r="G15" s="187"/>
      <c r="H15" s="184"/>
    </row>
    <row r="16" spans="1:18" s="139" customFormat="1" x14ac:dyDescent="0.25">
      <c r="B16" s="188" t="s">
        <v>340</v>
      </c>
      <c r="C16" s="133"/>
      <c r="D16" s="184"/>
      <c r="E16" s="185"/>
      <c r="F16" s="186"/>
      <c r="G16" s="187"/>
      <c r="H16" s="184"/>
    </row>
    <row r="17" spans="1:18" s="139" customFormat="1" x14ac:dyDescent="0.25">
      <c r="B17" s="188" t="s">
        <v>341</v>
      </c>
      <c r="C17" s="133"/>
      <c r="D17" s="184"/>
      <c r="E17" s="185"/>
      <c r="F17" s="186"/>
      <c r="G17" s="187"/>
      <c r="H17" s="184"/>
    </row>
    <row r="18" spans="1:18" s="139" customFormat="1" x14ac:dyDescent="0.25">
      <c r="B18" s="188" t="s">
        <v>352</v>
      </c>
      <c r="C18" s="133"/>
      <c r="D18" s="184"/>
      <c r="E18" s="185"/>
      <c r="F18" s="186"/>
      <c r="G18" s="187"/>
      <c r="H18" s="184"/>
    </row>
    <row r="19" spans="1:18" s="139" customFormat="1" x14ac:dyDescent="0.25">
      <c r="B19" s="188" t="s">
        <v>342</v>
      </c>
      <c r="C19" s="133"/>
      <c r="D19" s="184"/>
      <c r="E19" s="185"/>
      <c r="F19" s="186"/>
      <c r="G19" s="187"/>
      <c r="H19" s="184"/>
    </row>
    <row r="20" spans="1:18" s="139" customFormat="1" x14ac:dyDescent="0.25">
      <c r="B20" s="188"/>
      <c r="C20" s="133"/>
      <c r="D20" s="184"/>
      <c r="E20" s="185"/>
      <c r="F20" s="186"/>
      <c r="G20" s="187"/>
      <c r="H20" s="184"/>
      <c r="R20" s="16"/>
    </row>
    <row r="21" spans="1:18" s="139" customFormat="1" ht="15.75" thickBot="1" x14ac:dyDescent="0.3">
      <c r="C21" s="169" t="s">
        <v>355</v>
      </c>
      <c r="D21" s="189"/>
      <c r="E21" s="185" t="s">
        <v>5</v>
      </c>
      <c r="F21" s="186"/>
      <c r="G21" s="187"/>
      <c r="H21" s="184"/>
    </row>
    <row r="22" spans="1:18" s="139" customFormat="1" ht="15.75" thickTop="1" x14ac:dyDescent="0.25">
      <c r="B22" s="184"/>
      <c r="C22" s="133"/>
      <c r="D22" s="184"/>
      <c r="E22" s="185"/>
      <c r="F22" s="186"/>
      <c r="G22" s="187"/>
      <c r="H22" s="184"/>
    </row>
    <row r="23" spans="1:18" s="139" customFormat="1" ht="15.75" thickBot="1" x14ac:dyDescent="0.3">
      <c r="A23" s="137" t="s">
        <v>343</v>
      </c>
      <c r="B23" s="138"/>
      <c r="C23" s="138"/>
      <c r="D23" s="138"/>
      <c r="E23" s="138"/>
      <c r="F23" s="138"/>
      <c r="G23" s="138"/>
      <c r="H23" s="138"/>
    </row>
    <row r="24" spans="1:18" s="139" customFormat="1" x14ac:dyDescent="0.25">
      <c r="B24" s="140"/>
      <c r="C24" s="141"/>
      <c r="D24" s="142"/>
      <c r="E24" s="143"/>
      <c r="F24" s="144"/>
      <c r="G24" s="144"/>
    </row>
    <row r="25" spans="1:18" s="139" customFormat="1" ht="15.75" thickBot="1" x14ac:dyDescent="0.3">
      <c r="B25" s="132" t="s">
        <v>344</v>
      </c>
      <c r="C25" s="133" t="s">
        <v>40</v>
      </c>
      <c r="D25" s="132" t="s">
        <v>345</v>
      </c>
      <c r="E25" s="181" t="s">
        <v>346</v>
      </c>
      <c r="F25" s="144" t="s">
        <v>347</v>
      </c>
      <c r="G25" s="144" t="s">
        <v>335</v>
      </c>
      <c r="H25" s="139" t="s">
        <v>348</v>
      </c>
      <c r="R25" s="16"/>
    </row>
    <row r="26" spans="1:18" s="139" customFormat="1" ht="15.75" thickBot="1" x14ac:dyDescent="0.3">
      <c r="B26" s="190">
        <f>D26/(F26*H26)</f>
        <v>7.7777777777777777</v>
      </c>
      <c r="C26" s="133"/>
      <c r="D26" s="182">
        <f>B14</f>
        <v>1400</v>
      </c>
      <c r="E26" s="143"/>
      <c r="F26" s="191">
        <f>'DWS_Report Form'!C55</f>
        <v>0.05</v>
      </c>
      <c r="G26" s="144"/>
      <c r="H26" s="182">
        <v>3600</v>
      </c>
    </row>
    <row r="27" spans="1:18" s="139" customFormat="1" ht="15.75" thickTop="1" x14ac:dyDescent="0.25">
      <c r="B27" s="184"/>
      <c r="C27" s="133"/>
      <c r="D27" s="184"/>
      <c r="E27" s="185"/>
      <c r="F27" s="186"/>
      <c r="G27" s="187"/>
      <c r="H27" s="184"/>
      <c r="R27" s="16"/>
    </row>
    <row r="28" spans="1:18" s="139" customFormat="1" x14ac:dyDescent="0.25">
      <c r="B28" s="188" t="s">
        <v>349</v>
      </c>
      <c r="C28" s="133"/>
      <c r="D28" s="184"/>
      <c r="E28" s="185"/>
      <c r="F28" s="186"/>
      <c r="G28" s="187"/>
      <c r="H28" s="184"/>
      <c r="J28" s="132"/>
      <c r="R28" s="192"/>
    </row>
    <row r="29" spans="1:18" x14ac:dyDescent="0.25">
      <c r="A29" s="139"/>
      <c r="B29" s="188" t="s">
        <v>350</v>
      </c>
      <c r="C29" s="133"/>
      <c r="D29" s="184"/>
      <c r="E29" s="185"/>
      <c r="F29" s="186"/>
      <c r="G29" s="187"/>
      <c r="H29" s="184"/>
      <c r="I29" s="136"/>
      <c r="J29" s="132"/>
    </row>
    <row r="30" spans="1:18" s="139" customFormat="1" x14ac:dyDescent="0.25">
      <c r="B30" s="188" t="s">
        <v>351</v>
      </c>
      <c r="C30" s="133"/>
      <c r="D30" s="184"/>
      <c r="E30" s="185"/>
      <c r="F30" s="186"/>
      <c r="G30" s="187"/>
      <c r="H30" s="184"/>
      <c r="J30" s="132"/>
    </row>
    <row r="31" spans="1:18" s="139" customFormat="1" x14ac:dyDescent="0.25">
      <c r="B31" s="188" t="s">
        <v>353</v>
      </c>
      <c r="C31" s="133"/>
      <c r="D31" s="184"/>
      <c r="E31" s="185"/>
      <c r="F31" s="186"/>
      <c r="G31" s="187"/>
      <c r="H31" s="184"/>
      <c r="J31" s="193"/>
    </row>
    <row r="32" spans="1:18" s="139" customFormat="1" x14ac:dyDescent="0.25">
      <c r="B32" s="155"/>
      <c r="C32" s="160"/>
      <c r="D32" s="142"/>
      <c r="E32" s="402" t="s">
        <v>407</v>
      </c>
      <c r="F32" s="402"/>
      <c r="G32" s="144"/>
      <c r="J32" s="132"/>
    </row>
    <row r="33" spans="1:9" s="139" customFormat="1" ht="15.75" thickBot="1" x14ac:dyDescent="0.3">
      <c r="A33" s="132"/>
      <c r="B33" s="155" t="s">
        <v>365</v>
      </c>
      <c r="C33" s="194">
        <v>18</v>
      </c>
      <c r="D33" s="142" t="s">
        <v>14</v>
      </c>
      <c r="E33" s="402" t="s">
        <v>408</v>
      </c>
      <c r="F33" s="402"/>
      <c r="G33" s="172"/>
      <c r="H33" s="132"/>
    </row>
    <row r="34" spans="1:9" ht="15.75" thickTop="1" x14ac:dyDescent="0.25">
      <c r="A34" s="173"/>
      <c r="B34" s="135"/>
      <c r="C34" s="135"/>
      <c r="D34" s="135"/>
      <c r="E34" s="135"/>
      <c r="F34" s="135"/>
      <c r="G34" s="135"/>
      <c r="H34" s="135"/>
      <c r="I34" s="136"/>
    </row>
    <row r="35" spans="1:9" s="139" customFormat="1" ht="15.75" thickBot="1" x14ac:dyDescent="0.3">
      <c r="A35" s="132"/>
      <c r="B35" s="155"/>
      <c r="C35" s="133"/>
      <c r="D35" s="142"/>
      <c r="E35" s="171"/>
      <c r="F35" s="172"/>
      <c r="G35" s="172"/>
      <c r="H35" s="132"/>
    </row>
    <row r="36" spans="1:9" s="139" customFormat="1" x14ac:dyDescent="0.25">
      <c r="A36" s="49" t="s">
        <v>354</v>
      </c>
      <c r="B36" s="49"/>
      <c r="C36" s="49"/>
      <c r="D36" s="49"/>
      <c r="E36" s="49"/>
      <c r="F36" s="49"/>
      <c r="G36" s="49"/>
      <c r="H36" s="49"/>
    </row>
    <row r="37" spans="1:9" s="139" customFormat="1" x14ac:dyDescent="0.25">
      <c r="A37" s="28" t="s">
        <v>152</v>
      </c>
      <c r="B37" s="28"/>
      <c r="C37" s="28"/>
      <c r="D37" s="28"/>
      <c r="E37" s="28"/>
      <c r="F37" s="28"/>
      <c r="G37" s="28"/>
      <c r="H37" s="42" t="str">
        <f>'CL_1 - Project Review'!I57</f>
        <v>IDALS: Issue Date: 01/12/2023</v>
      </c>
    </row>
    <row r="38" spans="1:9" x14ac:dyDescent="0.25">
      <c r="A38" s="173"/>
      <c r="B38" s="135"/>
      <c r="C38" s="135"/>
      <c r="D38" s="135"/>
      <c r="E38" s="135"/>
      <c r="F38" s="135"/>
      <c r="G38" s="135"/>
      <c r="H38" s="135"/>
      <c r="I38" s="136"/>
    </row>
    <row r="39" spans="1:9" s="139" customFormat="1" x14ac:dyDescent="0.25">
      <c r="A39" s="132"/>
      <c r="B39" s="155"/>
      <c r="C39" s="174"/>
      <c r="D39" s="142"/>
      <c r="E39" s="171"/>
      <c r="F39" s="172"/>
      <c r="G39" s="172"/>
      <c r="H39" s="132"/>
    </row>
    <row r="40" spans="1:9" s="139" customFormat="1" x14ac:dyDescent="0.25">
      <c r="A40" s="132"/>
      <c r="B40" s="133"/>
      <c r="C40" s="133"/>
      <c r="D40" s="133"/>
      <c r="E40" s="172"/>
      <c r="F40" s="172"/>
      <c r="G40" s="172"/>
      <c r="H40" s="132"/>
    </row>
    <row r="41" spans="1:9" x14ac:dyDescent="0.25">
      <c r="A41" s="173"/>
      <c r="B41" s="135"/>
      <c r="C41" s="135"/>
      <c r="D41" s="135"/>
      <c r="E41" s="135"/>
      <c r="F41" s="135"/>
      <c r="G41" s="135"/>
      <c r="H41" s="135"/>
      <c r="I41" s="136"/>
    </row>
    <row r="42" spans="1:9" s="139" customFormat="1" x14ac:dyDescent="0.25">
      <c r="A42" s="132"/>
      <c r="B42" s="155"/>
      <c r="C42" s="160"/>
      <c r="D42" s="142"/>
      <c r="E42" s="171"/>
      <c r="F42" s="172"/>
      <c r="G42" s="172"/>
      <c r="H42" s="132"/>
    </row>
    <row r="43" spans="1:9" s="139" customFormat="1" x14ac:dyDescent="0.25">
      <c r="A43" s="132"/>
      <c r="B43" s="133"/>
      <c r="C43" s="160"/>
      <c r="D43" s="133"/>
      <c r="E43" s="172"/>
      <c r="F43" s="172"/>
      <c r="G43" s="172"/>
      <c r="H43" s="132"/>
    </row>
    <row r="44" spans="1:9" x14ac:dyDescent="0.25">
      <c r="A44" s="173"/>
      <c r="B44" s="135"/>
      <c r="C44" s="175"/>
      <c r="D44" s="135"/>
      <c r="E44" s="135"/>
      <c r="F44" s="135"/>
      <c r="G44" s="135"/>
      <c r="H44" s="135"/>
      <c r="I44" s="136"/>
    </row>
    <row r="45" spans="1:9" s="139" customFormat="1" x14ac:dyDescent="0.25">
      <c r="A45" s="132"/>
      <c r="B45" s="155"/>
      <c r="C45" s="176"/>
      <c r="D45" s="142"/>
      <c r="E45" s="171"/>
      <c r="F45" s="172"/>
      <c r="G45" s="172"/>
      <c r="H45" s="132"/>
    </row>
    <row r="46" spans="1:9" s="139" customFormat="1" x14ac:dyDescent="0.25">
      <c r="A46" s="132"/>
      <c r="B46" s="155"/>
      <c r="C46" s="176"/>
      <c r="D46" s="142"/>
      <c r="E46" s="171"/>
      <c r="F46" s="172"/>
      <c r="G46" s="172"/>
      <c r="H46" s="132"/>
    </row>
    <row r="47" spans="1:9" s="139" customFormat="1" x14ac:dyDescent="0.25">
      <c r="A47" s="132"/>
      <c r="B47" s="155"/>
      <c r="C47" s="176"/>
      <c r="D47" s="142"/>
      <c r="E47" s="171"/>
      <c r="F47" s="172"/>
      <c r="G47" s="172"/>
      <c r="H47" s="132"/>
    </row>
    <row r="48" spans="1:9" s="139" customFormat="1" x14ac:dyDescent="0.25">
      <c r="A48" s="132"/>
      <c r="B48" s="155"/>
      <c r="C48" s="160"/>
      <c r="D48" s="142"/>
      <c r="E48" s="171"/>
      <c r="F48" s="172"/>
      <c r="G48" s="172"/>
      <c r="H48" s="132"/>
    </row>
    <row r="49" spans="1:9" s="139" customFormat="1" x14ac:dyDescent="0.25">
      <c r="A49" s="132"/>
      <c r="B49" s="133"/>
      <c r="C49" s="133"/>
      <c r="D49" s="133"/>
      <c r="E49" s="172"/>
      <c r="F49" s="172"/>
      <c r="G49" s="172"/>
      <c r="H49" s="132"/>
    </row>
    <row r="50" spans="1:9" x14ac:dyDescent="0.25">
      <c r="A50" s="173"/>
      <c r="B50" s="135"/>
      <c r="C50" s="135"/>
      <c r="D50" s="135"/>
      <c r="E50" s="135"/>
      <c r="F50" s="135"/>
      <c r="G50" s="135"/>
      <c r="H50" s="135"/>
      <c r="I50" s="136"/>
    </row>
    <row r="51" spans="1:9" x14ac:dyDescent="0.25">
      <c r="A51" s="173"/>
      <c r="B51" s="155"/>
      <c r="C51" s="177"/>
      <c r="D51" s="142"/>
      <c r="E51" s="142"/>
      <c r="F51" s="135"/>
      <c r="G51" s="135"/>
      <c r="H51" s="135"/>
      <c r="I51" s="136"/>
    </row>
    <row r="52" spans="1:9" s="139" customFormat="1" x14ac:dyDescent="0.25">
      <c r="A52" s="132"/>
      <c r="B52" s="155"/>
      <c r="C52" s="177"/>
      <c r="D52" s="142"/>
      <c r="E52" s="171"/>
      <c r="F52" s="172"/>
      <c r="G52" s="172"/>
      <c r="H52" s="132"/>
    </row>
    <row r="53" spans="1:9" s="139" customFormat="1" x14ac:dyDescent="0.25">
      <c r="A53" s="132"/>
      <c r="B53" s="155"/>
      <c r="C53" s="178"/>
      <c r="D53" s="142"/>
      <c r="E53" s="171"/>
      <c r="F53" s="172"/>
      <c r="G53" s="172"/>
      <c r="H53" s="132"/>
    </row>
    <row r="54" spans="1:9" s="139" customFormat="1" x14ac:dyDescent="0.25">
      <c r="A54" s="132"/>
      <c r="B54" s="133"/>
      <c r="C54" s="133"/>
      <c r="D54" s="133"/>
      <c r="E54" s="172"/>
      <c r="F54" s="172"/>
      <c r="G54" s="172"/>
      <c r="H54" s="132"/>
    </row>
    <row r="55" spans="1:9" x14ac:dyDescent="0.25">
      <c r="A55" s="173"/>
      <c r="B55" s="135"/>
      <c r="C55" s="135"/>
      <c r="D55" s="135"/>
      <c r="E55" s="135"/>
      <c r="F55" s="135"/>
      <c r="G55" s="135"/>
      <c r="H55" s="135"/>
      <c r="I55" s="136"/>
    </row>
    <row r="56" spans="1:9" s="139" customFormat="1" x14ac:dyDescent="0.25">
      <c r="A56" s="132"/>
      <c r="B56" s="155"/>
      <c r="C56" s="172"/>
      <c r="D56" s="142"/>
      <c r="E56" s="172"/>
      <c r="F56" s="172"/>
      <c r="G56" s="172"/>
      <c r="H56" s="179"/>
    </row>
    <row r="57" spans="1:9" s="139" customFormat="1" x14ac:dyDescent="0.25">
      <c r="A57" s="132"/>
      <c r="B57" s="133"/>
      <c r="C57" s="133"/>
      <c r="D57" s="133"/>
      <c r="E57" s="172"/>
      <c r="F57" s="172"/>
      <c r="G57" s="172"/>
      <c r="H57" s="132"/>
    </row>
    <row r="58" spans="1:9" s="139" customFormat="1" x14ac:dyDescent="0.25">
      <c r="A58" s="173"/>
      <c r="B58" s="135"/>
      <c r="C58" s="135"/>
      <c r="D58" s="135"/>
      <c r="E58" s="135"/>
      <c r="F58" s="135"/>
      <c r="G58" s="135"/>
      <c r="H58" s="135"/>
    </row>
    <row r="59" spans="1:9" s="139" customFormat="1" x14ac:dyDescent="0.25">
      <c r="A59" s="132"/>
      <c r="B59" s="155"/>
      <c r="C59" s="174"/>
      <c r="D59" s="142"/>
      <c r="E59" s="171"/>
      <c r="F59" s="172"/>
      <c r="G59" s="172"/>
      <c r="H59" s="132"/>
    </row>
    <row r="60" spans="1:9" s="139" customFormat="1" x14ac:dyDescent="0.25">
      <c r="A60" s="132"/>
      <c r="B60" s="155"/>
      <c r="C60" s="176"/>
      <c r="D60" s="142"/>
      <c r="E60" s="172"/>
      <c r="F60" s="172"/>
      <c r="G60" s="172"/>
      <c r="H60" s="132"/>
    </row>
    <row r="61" spans="1:9" s="139" customFormat="1" x14ac:dyDescent="0.25">
      <c r="A61" s="132"/>
      <c r="B61" s="155"/>
      <c r="C61" s="176"/>
      <c r="D61" s="180"/>
      <c r="E61" s="160"/>
      <c r="F61" s="160"/>
      <c r="G61" s="160"/>
      <c r="H61" s="160"/>
    </row>
    <row r="62" spans="1:9" s="139" customFormat="1" x14ac:dyDescent="0.25">
      <c r="A62" s="132"/>
      <c r="B62" s="133"/>
      <c r="C62" s="133"/>
      <c r="D62" s="155"/>
      <c r="E62" s="172"/>
      <c r="F62" s="172"/>
      <c r="G62" s="172"/>
      <c r="H62" s="132"/>
    </row>
    <row r="63" spans="1:9" s="139" customFormat="1" x14ac:dyDescent="0.25">
      <c r="A63" s="173"/>
      <c r="B63" s="135"/>
      <c r="C63" s="135"/>
      <c r="D63" s="135"/>
      <c r="E63" s="135"/>
      <c r="F63" s="135"/>
      <c r="G63" s="135"/>
      <c r="H63" s="135"/>
    </row>
    <row r="64" spans="1:9" s="139" customFormat="1" x14ac:dyDescent="0.25">
      <c r="A64" s="132"/>
      <c r="B64" s="155"/>
      <c r="C64" s="174"/>
      <c r="D64" s="142"/>
      <c r="E64" s="171"/>
      <c r="F64" s="172"/>
      <c r="G64" s="172"/>
      <c r="H64" s="132"/>
    </row>
    <row r="65" spans="1:8" s="139" customFormat="1" x14ac:dyDescent="0.25">
      <c r="A65" s="132"/>
      <c r="B65" s="133"/>
      <c r="C65" s="133"/>
      <c r="D65" s="133"/>
      <c r="E65" s="172"/>
      <c r="F65" s="172"/>
      <c r="G65" s="172"/>
      <c r="H65" s="132"/>
    </row>
    <row r="66" spans="1:8" s="139" customFormat="1" x14ac:dyDescent="0.25">
      <c r="A66" s="173"/>
      <c r="B66" s="135"/>
      <c r="C66" s="135"/>
      <c r="D66" s="135"/>
      <c r="E66" s="135"/>
      <c r="F66" s="135"/>
      <c r="G66" s="135"/>
      <c r="H66" s="135"/>
    </row>
    <row r="67" spans="1:8" s="139" customFormat="1" x14ac:dyDescent="0.25">
      <c r="A67" s="132"/>
      <c r="B67" s="155"/>
      <c r="C67" s="174"/>
      <c r="D67" s="142"/>
      <c r="E67" s="171"/>
      <c r="F67" s="172"/>
      <c r="G67" s="172"/>
      <c r="H67" s="132"/>
    </row>
    <row r="68" spans="1:8" s="139" customFormat="1" x14ac:dyDescent="0.25">
      <c r="A68" s="132"/>
      <c r="B68" s="133"/>
      <c r="C68" s="133"/>
      <c r="D68" s="133"/>
      <c r="E68" s="172"/>
      <c r="F68" s="172"/>
      <c r="G68" s="172"/>
      <c r="H68" s="132"/>
    </row>
    <row r="69" spans="1:8" s="139" customFormat="1" x14ac:dyDescent="0.25">
      <c r="A69" s="132"/>
      <c r="B69" s="133"/>
      <c r="C69" s="133"/>
      <c r="D69" s="133"/>
      <c r="E69" s="172"/>
      <c r="F69" s="172"/>
      <c r="G69" s="172"/>
      <c r="H69" s="132"/>
    </row>
    <row r="70" spans="1:8" s="139" customFormat="1" x14ac:dyDescent="0.25">
      <c r="B70" s="136"/>
      <c r="C70" s="136"/>
      <c r="D70" s="136"/>
      <c r="E70" s="144"/>
      <c r="F70" s="144"/>
      <c r="G70" s="144"/>
    </row>
    <row r="71" spans="1:8" s="139" customFormat="1" x14ac:dyDescent="0.25">
      <c r="B71" s="136"/>
      <c r="C71" s="136"/>
      <c r="D71" s="136"/>
      <c r="E71" s="144"/>
      <c r="F71" s="144"/>
      <c r="G71" s="144"/>
    </row>
    <row r="72" spans="1:8" s="139" customFormat="1" x14ac:dyDescent="0.25">
      <c r="B72" s="136"/>
      <c r="C72" s="136"/>
      <c r="D72" s="136"/>
      <c r="E72" s="144"/>
      <c r="F72" s="144"/>
      <c r="G72" s="144"/>
    </row>
    <row r="73" spans="1:8" s="139" customFormat="1" x14ac:dyDescent="0.25">
      <c r="B73" s="136"/>
      <c r="C73" s="136"/>
      <c r="D73" s="136"/>
      <c r="E73" s="144"/>
      <c r="F73" s="144"/>
      <c r="G73" s="144"/>
    </row>
    <row r="74" spans="1:8" s="139" customFormat="1" x14ac:dyDescent="0.25">
      <c r="B74" s="136"/>
      <c r="C74" s="136"/>
      <c r="D74" s="136"/>
      <c r="E74" s="144"/>
      <c r="F74" s="144"/>
      <c r="G74" s="144"/>
    </row>
    <row r="75" spans="1:8" s="139" customFormat="1" x14ac:dyDescent="0.25">
      <c r="B75" s="136"/>
      <c r="C75" s="136"/>
      <c r="D75" s="136"/>
      <c r="E75" s="144"/>
      <c r="F75" s="144"/>
      <c r="G75" s="144"/>
    </row>
    <row r="76" spans="1:8" s="139" customFormat="1" x14ac:dyDescent="0.25">
      <c r="B76" s="136"/>
      <c r="C76" s="136"/>
      <c r="D76" s="136"/>
      <c r="E76" s="144"/>
      <c r="F76" s="144"/>
      <c r="G76" s="144"/>
    </row>
    <row r="77" spans="1:8" s="139" customFormat="1" x14ac:dyDescent="0.25">
      <c r="B77" s="136"/>
      <c r="C77" s="136"/>
      <c r="D77" s="136"/>
      <c r="E77" s="144"/>
      <c r="F77" s="144"/>
      <c r="G77" s="144"/>
    </row>
    <row r="78" spans="1:8" s="139" customFormat="1" x14ac:dyDescent="0.25">
      <c r="B78" s="136"/>
      <c r="C78" s="136"/>
      <c r="D78" s="136"/>
      <c r="E78" s="144"/>
      <c r="F78" s="144"/>
      <c r="G78" s="144"/>
    </row>
    <row r="79" spans="1:8" s="139" customFormat="1" x14ac:dyDescent="0.25">
      <c r="B79" s="136"/>
      <c r="C79" s="136"/>
      <c r="D79" s="136"/>
      <c r="E79" s="144"/>
      <c r="F79" s="144"/>
      <c r="G79" s="144"/>
    </row>
    <row r="80" spans="1:8" s="139" customFormat="1" x14ac:dyDescent="0.25">
      <c r="B80" s="136"/>
      <c r="C80" s="136"/>
      <c r="D80" s="136"/>
      <c r="E80" s="144"/>
      <c r="F80" s="144"/>
      <c r="G80" s="144"/>
    </row>
    <row r="81" spans="2:7" s="139" customFormat="1" x14ac:dyDescent="0.25">
      <c r="B81" s="136"/>
      <c r="C81" s="136"/>
      <c r="D81" s="136"/>
      <c r="E81" s="144"/>
      <c r="F81" s="144"/>
      <c r="G81" s="144"/>
    </row>
    <row r="82" spans="2:7" s="139" customFormat="1" x14ac:dyDescent="0.25">
      <c r="B82" s="136"/>
      <c r="C82" s="136"/>
      <c r="D82" s="136"/>
      <c r="E82" s="144"/>
      <c r="F82" s="144"/>
      <c r="G82" s="144"/>
    </row>
    <row r="83" spans="2:7" s="139" customFormat="1" x14ac:dyDescent="0.25">
      <c r="B83" s="136"/>
      <c r="C83" s="136"/>
      <c r="D83" s="136"/>
      <c r="E83" s="144"/>
      <c r="F83" s="144"/>
      <c r="G83" s="144"/>
    </row>
    <row r="84" spans="2:7" s="139" customFormat="1" x14ac:dyDescent="0.25">
      <c r="B84" s="136"/>
      <c r="C84" s="136"/>
      <c r="D84" s="136"/>
      <c r="E84" s="144"/>
      <c r="F84" s="144"/>
      <c r="G84" s="144"/>
    </row>
    <row r="85" spans="2:7" s="139" customFormat="1" x14ac:dyDescent="0.25">
      <c r="B85" s="136"/>
      <c r="C85" s="136"/>
      <c r="D85" s="136"/>
      <c r="E85" s="144"/>
      <c r="F85" s="144"/>
      <c r="G85" s="144"/>
    </row>
    <row r="86" spans="2:7" s="139" customFormat="1" x14ac:dyDescent="0.25">
      <c r="B86" s="136"/>
      <c r="C86" s="136"/>
      <c r="D86" s="136"/>
      <c r="E86" s="144"/>
      <c r="F86" s="144"/>
      <c r="G86" s="144"/>
    </row>
    <row r="87" spans="2:7" s="139" customFormat="1" x14ac:dyDescent="0.25">
      <c r="B87" s="136"/>
      <c r="C87" s="136"/>
      <c r="D87" s="136"/>
      <c r="E87" s="144"/>
      <c r="F87" s="144"/>
      <c r="G87" s="144"/>
    </row>
    <row r="88" spans="2:7" s="139" customFormat="1" x14ac:dyDescent="0.25">
      <c r="B88" s="136"/>
      <c r="C88" s="136"/>
      <c r="D88" s="136"/>
      <c r="E88" s="144"/>
      <c r="F88" s="144"/>
      <c r="G88" s="144"/>
    </row>
    <row r="89" spans="2:7" s="139" customFormat="1" x14ac:dyDescent="0.25">
      <c r="B89" s="136"/>
      <c r="C89" s="136"/>
      <c r="D89" s="136"/>
      <c r="E89" s="144"/>
      <c r="F89" s="144"/>
      <c r="G89" s="144"/>
    </row>
    <row r="90" spans="2:7" s="139" customFormat="1" x14ac:dyDescent="0.25">
      <c r="B90" s="136"/>
      <c r="C90" s="136"/>
      <c r="D90" s="136"/>
      <c r="E90" s="144"/>
      <c r="F90" s="144"/>
      <c r="G90" s="144"/>
    </row>
  </sheetData>
  <sheetProtection algorithmName="SHA-512" hashValue="U4paoqF/DqpoUf2C4Qlu2tqo3FgiIU38je1LWOag9SHI5SzaLUvvV7r7cGMY3nUovCaGbauSlSAK3CtE2J+ltA==" saltValue="OEXI+6eVGqYz6mh3pg4V6Q==" spinCount="100000" sheet="1" selectLockedCells="1"/>
  <mergeCells count="10">
    <mergeCell ref="E32:F32"/>
    <mergeCell ref="E33:F33"/>
    <mergeCell ref="A9:H9"/>
    <mergeCell ref="A1:H1"/>
    <mergeCell ref="A2:H2"/>
    <mergeCell ref="B3:H3"/>
    <mergeCell ref="B5:D5"/>
    <mergeCell ref="F5:H5"/>
    <mergeCell ref="B7:D7"/>
    <mergeCell ref="F7:H7"/>
  </mergeCells>
  <pageMargins left="0.7" right="0.7" top="0.75" bottom="0.75" header="0.3" footer="0.3"/>
  <pageSetup scale="8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C3518-2788-4AC2-9963-00E5A824F561}">
  <sheetPr>
    <tabColor theme="7" tint="0.79998168889431442"/>
    <pageSetUpPr fitToPage="1"/>
  </sheetPr>
  <dimension ref="A1:L65"/>
  <sheetViews>
    <sheetView showZeros="0" view="pageBreakPreview" zoomScaleNormal="100" zoomScaleSheetLayoutView="100" workbookViewId="0">
      <selection activeCell="E35" sqref="E35"/>
    </sheetView>
  </sheetViews>
  <sheetFormatPr defaultColWidth="8.85546875" defaultRowHeight="12" x14ac:dyDescent="0.2"/>
  <cols>
    <col min="1" max="1" width="17.140625" style="17" customWidth="1"/>
    <col min="2" max="2" width="9.28515625" style="17" customWidth="1"/>
    <col min="3" max="3" width="10.5703125" style="17" customWidth="1"/>
    <col min="4" max="9" width="9.28515625" style="17" customWidth="1"/>
    <col min="10" max="10" width="8.85546875" style="17"/>
    <col min="11" max="11" width="14.28515625" style="17" customWidth="1"/>
    <col min="12" max="12" width="23.5703125" style="17" customWidth="1"/>
    <col min="13" max="16384" width="8.85546875" style="17"/>
  </cols>
  <sheetData>
    <row r="1" spans="1:12" s="63" customFormat="1" ht="12.75" x14ac:dyDescent="0.2">
      <c r="A1" s="384" t="s">
        <v>359</v>
      </c>
      <c r="B1" s="384"/>
      <c r="C1" s="384"/>
      <c r="D1" s="384"/>
      <c r="E1" s="384"/>
      <c r="F1" s="384"/>
      <c r="G1" s="384"/>
      <c r="H1" s="384"/>
      <c r="I1" s="384"/>
    </row>
    <row r="2" spans="1:12" s="63" customFormat="1" ht="12.75" x14ac:dyDescent="0.2">
      <c r="A2" s="397" t="s">
        <v>330</v>
      </c>
      <c r="B2" s="397"/>
      <c r="C2" s="397"/>
      <c r="D2" s="397"/>
      <c r="E2" s="397"/>
      <c r="F2" s="397"/>
      <c r="G2" s="397"/>
      <c r="H2" s="397"/>
      <c r="I2" s="397"/>
    </row>
    <row r="3" spans="1:12" s="18" customFormat="1" x14ac:dyDescent="0.2">
      <c r="A3" s="19" t="s">
        <v>1</v>
      </c>
      <c r="B3" s="392" t="str">
        <f>'CL_1 - Project Review'!C3</f>
        <v>Project Name</v>
      </c>
      <c r="C3" s="392"/>
      <c r="D3" s="392"/>
      <c r="E3" s="392"/>
      <c r="F3" s="392"/>
      <c r="G3" s="392"/>
      <c r="H3" s="392"/>
      <c r="I3" s="392"/>
    </row>
    <row r="4" spans="1:12" s="18" customFormat="1" ht="3.6" customHeight="1" x14ac:dyDescent="0.2">
      <c r="B4" s="19"/>
      <c r="C4" s="21"/>
      <c r="D4" s="21"/>
      <c r="E4" s="21"/>
      <c r="F4" s="21"/>
      <c r="G4" s="21"/>
      <c r="H4" s="21"/>
      <c r="I4" s="21"/>
    </row>
    <row r="5" spans="1:12" x14ac:dyDescent="0.2">
      <c r="A5" s="19" t="s">
        <v>78</v>
      </c>
      <c r="B5" s="392" t="str">
        <f>'CL_1 - Project Review'!C5</f>
        <v>Applicant name</v>
      </c>
      <c r="C5" s="392"/>
      <c r="D5" s="392"/>
      <c r="E5" s="392"/>
      <c r="F5" s="19" t="s">
        <v>0</v>
      </c>
      <c r="G5" s="406">
        <f ca="1">'CL_1 - Project Review'!G5</f>
        <v>45644</v>
      </c>
      <c r="H5" s="392"/>
      <c r="I5" s="392"/>
    </row>
    <row r="6" spans="1:12" ht="3.6" customHeight="1" x14ac:dyDescent="0.2">
      <c r="A6" s="19"/>
      <c r="B6" s="19"/>
      <c r="C6" s="21"/>
      <c r="D6" s="21"/>
      <c r="E6" s="21"/>
      <c r="F6" s="19"/>
      <c r="G6" s="50"/>
      <c r="H6" s="21"/>
      <c r="I6" s="21"/>
    </row>
    <row r="7" spans="1:12" x14ac:dyDescent="0.2">
      <c r="A7" s="404" t="s">
        <v>129</v>
      </c>
      <c r="B7" s="404"/>
      <c r="C7" s="404"/>
      <c r="D7" s="404"/>
      <c r="E7" s="404"/>
      <c r="F7" s="404"/>
      <c r="G7" s="404"/>
      <c r="H7" s="404"/>
      <c r="I7" s="404"/>
      <c r="J7" s="195"/>
    </row>
    <row r="8" spans="1:12" ht="3.6" customHeight="1" x14ac:dyDescent="0.2"/>
    <row r="9" spans="1:12" ht="12" customHeight="1" x14ac:dyDescent="0.2">
      <c r="A9" s="196" t="s">
        <v>130</v>
      </c>
      <c r="B9" s="197"/>
      <c r="C9" s="197"/>
      <c r="D9" s="197"/>
      <c r="E9" s="197"/>
      <c r="F9" s="197"/>
      <c r="G9" s="197"/>
      <c r="H9" s="197"/>
      <c r="I9" s="197"/>
    </row>
    <row r="10" spans="1:12" ht="12" customHeight="1" x14ac:dyDescent="0.2">
      <c r="K10" s="198" t="s">
        <v>131</v>
      </c>
      <c r="L10" s="199"/>
    </row>
    <row r="11" spans="1:12" ht="12" customHeight="1" thickBot="1" x14ac:dyDescent="0.25">
      <c r="A11" s="51" t="s">
        <v>132</v>
      </c>
      <c r="B11" s="17" t="s">
        <v>133</v>
      </c>
      <c r="C11" s="200">
        <f>'DE_4 - Pre-treat'!B7</f>
        <v>3810.625</v>
      </c>
      <c r="D11" s="17" t="s">
        <v>5</v>
      </c>
      <c r="F11" s="200"/>
      <c r="H11" s="68"/>
      <c r="I11" s="201" t="str">
        <f>IF(K11&gt;0,"MANUAL"," ")</f>
        <v xml:space="preserve"> </v>
      </c>
      <c r="K11" s="202">
        <v>0</v>
      </c>
      <c r="L11" s="203" t="s">
        <v>134</v>
      </c>
    </row>
    <row r="12" spans="1:12" ht="12" customHeight="1" thickBot="1" x14ac:dyDescent="0.25">
      <c r="A12" s="51" t="s">
        <v>236</v>
      </c>
      <c r="B12" s="17" t="s">
        <v>133</v>
      </c>
      <c r="C12" s="200">
        <f>IF(K12=0,'DE_4 - Pre-treat'!B8,K12)</f>
        <v>381.0625</v>
      </c>
      <c r="D12" s="17" t="s">
        <v>5</v>
      </c>
      <c r="E12" s="17" t="s">
        <v>237</v>
      </c>
      <c r="F12" s="200">
        <f>'DE_4 - Pre-treat'!D47</f>
        <v>250</v>
      </c>
      <c r="G12" s="17" t="s">
        <v>5</v>
      </c>
      <c r="H12" s="68" t="str">
        <f>IF(F12=0,0,IF(F12/C12&gt;=1,"OK","!"))</f>
        <v>!</v>
      </c>
      <c r="I12" s="201" t="str">
        <f>IF(K12&gt;0,"MANUAL"," ")</f>
        <v xml:space="preserve"> </v>
      </c>
      <c r="K12" s="204">
        <v>0</v>
      </c>
      <c r="L12" s="205" t="s">
        <v>238</v>
      </c>
    </row>
    <row r="13" spans="1:12" s="207" customFormat="1" ht="12" customHeight="1" x14ac:dyDescent="0.2">
      <c r="A13" s="206" t="s">
        <v>239</v>
      </c>
      <c r="C13" s="208"/>
      <c r="F13" s="208"/>
      <c r="H13" s="209"/>
    </row>
    <row r="14" spans="1:12" ht="12.95" customHeight="1" thickBot="1" x14ac:dyDescent="0.25">
      <c r="E14" s="18" t="s">
        <v>240</v>
      </c>
      <c r="F14" s="210">
        <v>500</v>
      </c>
      <c r="G14" s="17" t="s">
        <v>5</v>
      </c>
    </row>
    <row r="15" spans="1:12" ht="12" customHeight="1" x14ac:dyDescent="0.2"/>
    <row r="16" spans="1:12" ht="12" customHeight="1" x14ac:dyDescent="0.2">
      <c r="A16" s="211"/>
      <c r="B16" s="212"/>
      <c r="C16" s="212" t="s">
        <v>135</v>
      </c>
      <c r="D16" s="212" t="s">
        <v>136</v>
      </c>
      <c r="E16" s="212" t="s">
        <v>137</v>
      </c>
      <c r="F16" s="212" t="s">
        <v>138</v>
      </c>
      <c r="G16" s="212" t="s">
        <v>139</v>
      </c>
      <c r="H16" s="212" t="s">
        <v>140</v>
      </c>
      <c r="I16" s="212" t="s">
        <v>141</v>
      </c>
    </row>
    <row r="17" spans="1:12" ht="12" customHeight="1" x14ac:dyDescent="0.2">
      <c r="A17" s="51" t="s">
        <v>142</v>
      </c>
      <c r="B17" s="213"/>
      <c r="C17" s="213">
        <f>'DE_6 - Results'!B15</f>
        <v>0.08</v>
      </c>
      <c r="D17" s="213">
        <f>'DE_6 - Results'!B16</f>
        <v>0.19</v>
      </c>
      <c r="E17" s="213">
        <f>'DE_6 - Results'!B17</f>
        <v>0.54</v>
      </c>
      <c r="F17" s="213">
        <f>'DE_6 - Results'!B18</f>
        <v>0.94</v>
      </c>
      <c r="G17" s="213">
        <f>'DE_6 - Results'!B19</f>
        <v>1.7</v>
      </c>
      <c r="H17" s="213">
        <f>'DE_6 - Results'!B20</f>
        <v>2.2000000000000002</v>
      </c>
      <c r="I17" s="213">
        <f>'DE_6 - Results'!B21</f>
        <v>2.2000000000000002</v>
      </c>
    </row>
    <row r="18" spans="1:12" ht="12" customHeight="1" x14ac:dyDescent="0.2">
      <c r="A18" s="51" t="s">
        <v>143</v>
      </c>
      <c r="B18" s="213"/>
      <c r="C18" s="213">
        <f>'DE_6 - Results'!C15</f>
        <v>0.22</v>
      </c>
      <c r="D18" s="213">
        <f>'DE_6 - Results'!C16</f>
        <v>0.26</v>
      </c>
      <c r="E18" s="213">
        <f>'DE_6 - Results'!C17</f>
        <v>0.47</v>
      </c>
      <c r="F18" s="213">
        <f>'DE_6 - Results'!C18</f>
        <v>0.74</v>
      </c>
      <c r="G18" s="213">
        <f>'DE_6 - Results'!C19</f>
        <v>1.3</v>
      </c>
      <c r="H18" s="213">
        <f>'DE_6 - Results'!C20</f>
        <v>1.7</v>
      </c>
      <c r="I18" s="213">
        <f>'DE_6 - Results'!C21</f>
        <v>2.2000000000000002</v>
      </c>
    </row>
    <row r="19" spans="1:12" ht="3.6" customHeight="1" x14ac:dyDescent="0.2">
      <c r="A19" s="51"/>
      <c r="B19" s="213"/>
      <c r="C19" s="213"/>
      <c r="D19" s="213"/>
      <c r="E19" s="213"/>
      <c r="F19" s="213"/>
      <c r="G19" s="213"/>
      <c r="H19" s="213"/>
      <c r="I19" s="213"/>
    </row>
    <row r="20" spans="1:12" ht="12" customHeight="1" x14ac:dyDescent="0.2">
      <c r="A20" s="51" t="s">
        <v>144</v>
      </c>
      <c r="B20" s="68"/>
      <c r="C20" s="68" t="str">
        <f t="shared" ref="C20:I20" si="0">IF(C17=0,0,IF(C18&gt;C17,"!","OK"))</f>
        <v>!</v>
      </c>
      <c r="D20" s="68" t="str">
        <f t="shared" si="0"/>
        <v>!</v>
      </c>
      <c r="E20" s="68" t="str">
        <f t="shared" si="0"/>
        <v>OK</v>
      </c>
      <c r="F20" s="68" t="str">
        <f t="shared" si="0"/>
        <v>OK</v>
      </c>
      <c r="G20" s="68" t="str">
        <f t="shared" si="0"/>
        <v>OK</v>
      </c>
      <c r="H20" s="68" t="str">
        <f t="shared" si="0"/>
        <v>OK</v>
      </c>
      <c r="I20" s="68" t="str">
        <f t="shared" si="0"/>
        <v>OK</v>
      </c>
    </row>
    <row r="21" spans="1:12" ht="12" customHeight="1" x14ac:dyDescent="0.2"/>
    <row r="22" spans="1:12" ht="12" customHeight="1" x14ac:dyDescent="0.2">
      <c r="A22" s="214"/>
      <c r="B22" s="214"/>
      <c r="C22" s="215"/>
      <c r="D22" s="216" t="s">
        <v>135</v>
      </c>
      <c r="E22" s="212" t="s">
        <v>138</v>
      </c>
      <c r="F22" s="212" t="s">
        <v>141</v>
      </c>
      <c r="K22" s="198" t="s">
        <v>131</v>
      </c>
      <c r="L22" s="199"/>
    </row>
    <row r="23" spans="1:12" ht="12" customHeight="1" thickBot="1" x14ac:dyDescent="0.25">
      <c r="A23" s="17" t="s">
        <v>264</v>
      </c>
      <c r="D23" s="217">
        <f>IF(K24=0,'DE_6 - Results'!D15-I23,K24-K23)</f>
        <v>1.7800000000000011</v>
      </c>
      <c r="E23" s="217">
        <f>IF(K25=0,'DE_6 - Results'!D18-I23,K25-K23)</f>
        <v>2.519999999999996</v>
      </c>
      <c r="F23" s="217">
        <f>IF(K26=0,'DE_6 - Results'!D21-'DE_1 - Design Summary'!I23,K26-K23)</f>
        <v>3.3400000000000034</v>
      </c>
      <c r="G23" s="17" t="s">
        <v>241</v>
      </c>
      <c r="I23" s="218">
        <f>'DE_5 - Final Storage Volumes'!G5</f>
        <v>100</v>
      </c>
      <c r="K23" s="219">
        <v>0</v>
      </c>
      <c r="L23" s="199" t="s">
        <v>242</v>
      </c>
    </row>
    <row r="24" spans="1:12" ht="12" customHeight="1" thickBot="1" x14ac:dyDescent="0.25">
      <c r="C24" s="18" t="s">
        <v>243</v>
      </c>
      <c r="D24" s="68" t="str">
        <f>IF(D23=0,0,IF(D23&lt;=2,"OK","!"))</f>
        <v>OK</v>
      </c>
      <c r="E24" s="68" t="str">
        <f>IF(E23=0,0,IF(E23&lt;=2.5,"OK","!"))</f>
        <v>!</v>
      </c>
      <c r="F24" s="68" t="str">
        <f>IF(F23=0,0,IF(F23&lt;=5,"OK","!"))</f>
        <v>OK</v>
      </c>
      <c r="G24" s="405" t="s">
        <v>263</v>
      </c>
      <c r="H24" s="405"/>
      <c r="I24" s="405"/>
      <c r="K24" s="220">
        <v>0</v>
      </c>
      <c r="L24" s="199" t="s">
        <v>244</v>
      </c>
    </row>
    <row r="25" spans="1:12" ht="12" customHeight="1" thickBot="1" x14ac:dyDescent="0.25">
      <c r="D25" s="201" t="str">
        <f>IF(K24&gt;0,"MANUAL"," ")</f>
        <v xml:space="preserve"> </v>
      </c>
      <c r="E25" s="201" t="str">
        <f>IF(K25&gt;0,"MANUAL"," ")</f>
        <v xml:space="preserve"> </v>
      </c>
      <c r="F25" s="201" t="str">
        <f>IF(K26&gt;0,"MANUAL"," ")</f>
        <v xml:space="preserve"> </v>
      </c>
      <c r="G25" s="221"/>
      <c r="H25" s="221"/>
      <c r="K25" s="220">
        <v>0</v>
      </c>
      <c r="L25" s="199" t="s">
        <v>245</v>
      </c>
    </row>
    <row r="26" spans="1:12" ht="12" customHeight="1" thickBot="1" x14ac:dyDescent="0.25">
      <c r="A26" s="222" t="s">
        <v>328</v>
      </c>
      <c r="B26" s="223"/>
      <c r="C26" s="223"/>
      <c r="D26" s="223"/>
      <c r="E26" s="223"/>
      <c r="F26" s="223"/>
      <c r="G26" s="223"/>
      <c r="H26" s="223"/>
      <c r="I26" s="223"/>
      <c r="K26" s="220">
        <v>0</v>
      </c>
      <c r="L26" s="199" t="s">
        <v>246</v>
      </c>
    </row>
    <row r="27" spans="1:12" ht="12" customHeight="1" x14ac:dyDescent="0.2">
      <c r="A27" s="51"/>
    </row>
    <row r="28" spans="1:12" ht="12" customHeight="1" x14ac:dyDescent="0.2">
      <c r="A28" s="51"/>
      <c r="B28" s="52"/>
      <c r="C28" s="52"/>
      <c r="D28" s="224" t="s">
        <v>382</v>
      </c>
      <c r="E28" s="26">
        <f>MAX('DE_5 - Final Storage Volumes'!C14:C25)/('DE_2 - Det Wtrshed Info'!C46*43560)</f>
        <v>0.17483930211202939</v>
      </c>
      <c r="F28" s="17" t="s">
        <v>247</v>
      </c>
    </row>
    <row r="29" spans="1:12" ht="12" customHeight="1" x14ac:dyDescent="0.2">
      <c r="A29" s="51"/>
      <c r="C29" s="206" t="s">
        <v>248</v>
      </c>
      <c r="D29" s="18"/>
      <c r="E29" s="26"/>
    </row>
    <row r="30" spans="1:12" ht="12" customHeight="1" x14ac:dyDescent="0.2">
      <c r="A30" s="51"/>
      <c r="C30" s="206"/>
      <c r="D30" s="18"/>
      <c r="E30" s="26"/>
    </row>
    <row r="31" spans="1:12" ht="12" customHeight="1" x14ac:dyDescent="0.2">
      <c r="D31" s="18" t="s">
        <v>249</v>
      </c>
      <c r="E31" s="213">
        <f>'DE_5 - Final Storage Volumes'!E27</f>
        <v>0.5700642791551882</v>
      </c>
      <c r="F31" s="225" t="s">
        <v>250</v>
      </c>
      <c r="G31" s="20"/>
    </row>
    <row r="32" spans="1:12" ht="12" customHeight="1" x14ac:dyDescent="0.2"/>
    <row r="33" spans="1:9" ht="12" customHeight="1" x14ac:dyDescent="0.2">
      <c r="A33" s="226" t="s">
        <v>329</v>
      </c>
      <c r="B33" s="226"/>
      <c r="C33" s="226"/>
      <c r="D33" s="226"/>
      <c r="E33" s="226"/>
      <c r="F33" s="226"/>
      <c r="G33" s="226"/>
      <c r="H33" s="226"/>
      <c r="I33" s="226"/>
    </row>
    <row r="34" spans="1:9" ht="12.95" customHeight="1" x14ac:dyDescent="0.2"/>
    <row r="35" spans="1:9" ht="12.95" customHeight="1" thickBot="1" x14ac:dyDescent="0.25">
      <c r="D35" s="18" t="s">
        <v>301</v>
      </c>
      <c r="E35" s="227">
        <v>20</v>
      </c>
      <c r="F35" s="17" t="s">
        <v>15</v>
      </c>
    </row>
    <row r="36" spans="1:9" ht="12.95" customHeight="1" thickBot="1" x14ac:dyDescent="0.25">
      <c r="D36" s="18" t="s">
        <v>302</v>
      </c>
      <c r="E36" s="228">
        <v>100</v>
      </c>
      <c r="F36" s="17" t="s">
        <v>15</v>
      </c>
      <c r="H36" s="20"/>
      <c r="I36" s="20"/>
    </row>
    <row r="37" spans="1:9" ht="12.95" customHeight="1" x14ac:dyDescent="0.2"/>
    <row r="38" spans="1:9" ht="12.95" customHeight="1" thickBot="1" x14ac:dyDescent="0.25">
      <c r="E38" s="18" t="s">
        <v>251</v>
      </c>
      <c r="F38" s="227">
        <v>106.7</v>
      </c>
      <c r="H38" s="20" t="str">
        <f>IF(F38=0,0,IF(F38-F23-I23&gt;=1,"OK","!"))</f>
        <v>OK</v>
      </c>
    </row>
    <row r="39" spans="1:9" ht="12.95" customHeight="1" x14ac:dyDescent="0.2">
      <c r="E39" s="18"/>
      <c r="F39" s="229">
        <f>IF(F38=0,0,IF(F38-F23-I23&lt;1,"DAM CREST &lt; 1' ABOVE 100-YR HIGH WATER ELEV",0))</f>
        <v>0</v>
      </c>
      <c r="H39" s="20"/>
    </row>
    <row r="40" spans="1:9" ht="12.95" customHeight="1" thickBot="1" x14ac:dyDescent="0.25">
      <c r="E40" s="18" t="s">
        <v>252</v>
      </c>
      <c r="F40" s="227">
        <v>105.1</v>
      </c>
      <c r="H40" s="20" t="str">
        <f>IF(F40=0,0,IF(F38-F40&gt;=1.5,"OK","!"))</f>
        <v>OK</v>
      </c>
    </row>
    <row r="41" spans="1:9" ht="12.95" customHeight="1" x14ac:dyDescent="0.2">
      <c r="E41" s="18"/>
      <c r="F41" s="229">
        <f>IF(F38=0,0,IF(F38-F40&lt;1.5,"AUX. SPILLWAY CREST &lt; 1.5' BELOW DAM CREST",0))</f>
        <v>0</v>
      </c>
      <c r="H41" s="20"/>
    </row>
    <row r="42" spans="1:9" ht="12.95" customHeight="1" x14ac:dyDescent="0.2">
      <c r="E42" s="18"/>
      <c r="F42" s="20"/>
      <c r="H42" s="20"/>
    </row>
    <row r="43" spans="1:9" ht="12.95" customHeight="1" thickBot="1" x14ac:dyDescent="0.25">
      <c r="E43" s="18" t="s">
        <v>253</v>
      </c>
      <c r="F43" s="227">
        <v>6</v>
      </c>
      <c r="G43" s="17" t="s">
        <v>254</v>
      </c>
      <c r="H43" s="20" t="str">
        <f>IF(F43=0," ",IF(F43&gt;=6,"OK","!"))</f>
        <v>OK</v>
      </c>
    </row>
    <row r="44" spans="1:9" ht="12.95" customHeight="1" thickBot="1" x14ac:dyDescent="0.25">
      <c r="E44" s="18" t="s">
        <v>255</v>
      </c>
      <c r="F44" s="228">
        <v>4</v>
      </c>
      <c r="G44" s="17" t="s">
        <v>254</v>
      </c>
      <c r="H44" s="20" t="str">
        <f>IF(F44=0," ",IF(F44&gt;=4,"OK",IF(F44&gt;=3,"/","!")))</f>
        <v>OK</v>
      </c>
    </row>
    <row r="45" spans="1:9" ht="12.95" customHeight="1" x14ac:dyDescent="0.2">
      <c r="F45" s="20"/>
    </row>
    <row r="46" spans="1:9" ht="12.95" customHeight="1" thickBot="1" x14ac:dyDescent="0.25">
      <c r="E46" s="18" t="s">
        <v>256</v>
      </c>
      <c r="F46" s="227">
        <v>10</v>
      </c>
      <c r="G46" s="17" t="s">
        <v>15</v>
      </c>
    </row>
    <row r="47" spans="1:9" ht="12" customHeight="1" x14ac:dyDescent="0.2"/>
    <row r="48" spans="1:9" ht="12" customHeight="1" x14ac:dyDescent="0.2">
      <c r="A48" s="230" t="s">
        <v>145</v>
      </c>
      <c r="B48" s="230"/>
      <c r="C48" s="230"/>
      <c r="D48" s="230"/>
      <c r="E48" s="230"/>
      <c r="F48" s="230"/>
      <c r="G48" s="230"/>
      <c r="H48" s="230"/>
      <c r="I48" s="230"/>
    </row>
    <row r="49" spans="1:9" ht="24" customHeight="1" x14ac:dyDescent="0.2">
      <c r="D49" s="19" t="s">
        <v>146</v>
      </c>
      <c r="E49" s="231" t="s">
        <v>147</v>
      </c>
    </row>
    <row r="50" spans="1:9" ht="12.95" customHeight="1" thickBot="1" x14ac:dyDescent="0.25">
      <c r="D50" s="18" t="s">
        <v>148</v>
      </c>
      <c r="E50" s="232"/>
      <c r="G50" s="18" t="s">
        <v>149</v>
      </c>
      <c r="H50" s="232"/>
      <c r="I50" s="21" t="s">
        <v>93</v>
      </c>
    </row>
    <row r="51" spans="1:9" ht="12.95" customHeight="1" thickBot="1" x14ac:dyDescent="0.25">
      <c r="D51" s="18" t="s">
        <v>150</v>
      </c>
      <c r="E51" s="233"/>
    </row>
    <row r="52" spans="1:9" ht="12.95" customHeight="1" thickBot="1" x14ac:dyDescent="0.25">
      <c r="D52" s="18" t="s">
        <v>151</v>
      </c>
      <c r="E52" s="233"/>
    </row>
    <row r="53" spans="1:9" ht="12.95" customHeight="1" thickBot="1" x14ac:dyDescent="0.25">
      <c r="C53" s="20"/>
      <c r="D53" s="18" t="s">
        <v>257</v>
      </c>
      <c r="E53" s="233"/>
    </row>
    <row r="54" spans="1:9" ht="12.95" customHeight="1" thickBot="1" x14ac:dyDescent="0.25">
      <c r="C54" s="20"/>
      <c r="D54" s="18" t="s">
        <v>258</v>
      </c>
      <c r="E54" s="233"/>
    </row>
    <row r="55" spans="1:9" ht="12.95" customHeight="1" thickBot="1" x14ac:dyDescent="0.25">
      <c r="C55" s="20"/>
      <c r="D55" s="18" t="s">
        <v>259</v>
      </c>
      <c r="E55" s="233"/>
      <c r="G55" s="18" t="s">
        <v>260</v>
      </c>
      <c r="H55" s="232"/>
      <c r="I55" s="21" t="s">
        <v>93</v>
      </c>
    </row>
    <row r="56" spans="1:9" ht="12.95" customHeight="1" thickBot="1" x14ac:dyDescent="0.25">
      <c r="C56" s="20"/>
      <c r="D56" s="18" t="s">
        <v>261</v>
      </c>
      <c r="E56" s="233"/>
      <c r="G56" s="18" t="s">
        <v>262</v>
      </c>
      <c r="H56" s="233"/>
      <c r="I56" s="21" t="s">
        <v>93</v>
      </c>
    </row>
    <row r="57" spans="1:9" ht="12.75" thickBot="1" x14ac:dyDescent="0.25">
      <c r="C57" s="20"/>
    </row>
    <row r="58" spans="1:9" ht="15" x14ac:dyDescent="0.25">
      <c r="A58" s="49" t="s">
        <v>315</v>
      </c>
      <c r="B58" s="49"/>
      <c r="C58" s="49"/>
      <c r="D58" s="49"/>
      <c r="E58" s="49"/>
      <c r="F58" s="49"/>
      <c r="G58" s="49"/>
      <c r="H58" s="49"/>
      <c r="I58" s="49"/>
    </row>
    <row r="59" spans="1:9" ht="15" x14ac:dyDescent="0.25">
      <c r="A59" s="28" t="s">
        <v>186</v>
      </c>
      <c r="B59" s="28"/>
      <c r="C59" s="28"/>
      <c r="D59" s="28"/>
      <c r="E59" s="28"/>
      <c r="F59" s="28"/>
      <c r="G59" s="28"/>
      <c r="H59" s="28"/>
      <c r="I59" s="42" t="str">
        <f>'CL_1 - Project Review'!I57</f>
        <v>IDALS: Issue Date: 01/12/2023</v>
      </c>
    </row>
    <row r="60" spans="1:9" x14ac:dyDescent="0.2">
      <c r="E60" s="20"/>
    </row>
    <row r="61" spans="1:9" x14ac:dyDescent="0.2">
      <c r="E61" s="20"/>
    </row>
    <row r="62" spans="1:9" x14ac:dyDescent="0.2">
      <c r="E62" s="20"/>
    </row>
    <row r="63" spans="1:9" x14ac:dyDescent="0.2">
      <c r="E63" s="20"/>
    </row>
    <row r="64" spans="1:9" x14ac:dyDescent="0.2">
      <c r="E64" s="20"/>
    </row>
    <row r="65" spans="5:5" x14ac:dyDescent="0.2">
      <c r="E65" s="20"/>
    </row>
  </sheetData>
  <sheetProtection algorithmName="SHA-512" hashValue="FP01bWgbttrWRzBlU3SUjpyOj6BxtSEVLy6YRZLdxZFVLXWWF0hhzioZt57Nec8v7pk4lfRmhWwTS7n5HRrtJw==" saltValue="DqsmryE6hb3L67Cc8jaWmw==" spinCount="100000" sheet="1" selectLockedCells="1"/>
  <mergeCells count="7">
    <mergeCell ref="A7:I7"/>
    <mergeCell ref="G24:I24"/>
    <mergeCell ref="B3:I3"/>
    <mergeCell ref="B5:E5"/>
    <mergeCell ref="A1:I1"/>
    <mergeCell ref="A2:I2"/>
    <mergeCell ref="G5:I5"/>
  </mergeCells>
  <conditionalFormatting sqref="H11:H13 G31 H38:H44">
    <cfRule type="cellIs" dxfId="16" priority="12" operator="equal">
      <formula>"!"</formula>
    </cfRule>
    <cfRule type="cellIs" dxfId="15" priority="13" operator="equal">
      <formula>"OK"</formula>
    </cfRule>
  </conditionalFormatting>
  <conditionalFormatting sqref="C20:I20">
    <cfRule type="cellIs" dxfId="14" priority="10" operator="equal">
      <formula>"!"</formula>
    </cfRule>
    <cfRule type="cellIs" dxfId="13" priority="11" operator="equal">
      <formula>"OK"</formula>
    </cfRule>
  </conditionalFormatting>
  <conditionalFormatting sqref="D24:F24">
    <cfRule type="cellIs" dxfId="12" priority="8" operator="equal">
      <formula>"!"</formula>
    </cfRule>
    <cfRule type="cellIs" dxfId="11" priority="9" operator="equal">
      <formula>"OK"</formula>
    </cfRule>
  </conditionalFormatting>
  <conditionalFormatting sqref="H55:I55">
    <cfRule type="duplicateValues" dxfId="10" priority="5"/>
  </conditionalFormatting>
  <conditionalFormatting sqref="H50:I50">
    <cfRule type="duplicateValues" dxfId="9" priority="4"/>
  </conditionalFormatting>
  <conditionalFormatting sqref="B20">
    <cfRule type="cellIs" dxfId="8" priority="2" operator="equal">
      <formula>"!"</formula>
    </cfRule>
    <cfRule type="cellIs" dxfId="7" priority="3" operator="equal">
      <formula>"OK"</formula>
    </cfRule>
  </conditionalFormatting>
  <conditionalFormatting sqref="H44">
    <cfRule type="cellIs" dxfId="6" priority="1" operator="equal">
      <formula>"/"</formula>
    </cfRule>
  </conditionalFormatting>
  <pageMargins left="0.7" right="0.7" top="0.75" bottom="0.75" header="0.3" footer="0.3"/>
  <pageSetup scale="97"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1AF3E-9165-48AD-A8C0-AB295CA5EEEA}">
  <sheetPr>
    <tabColor theme="7" tint="0.79998168889431442"/>
    <pageSetUpPr fitToPage="1"/>
  </sheetPr>
  <dimension ref="A1:U54"/>
  <sheetViews>
    <sheetView view="pageBreakPreview" zoomScaleNormal="100" zoomScaleSheetLayoutView="100" workbookViewId="0">
      <selection activeCell="C13" sqref="C13"/>
    </sheetView>
  </sheetViews>
  <sheetFormatPr defaultColWidth="8.85546875" defaultRowHeight="12" x14ac:dyDescent="0.2"/>
  <cols>
    <col min="1" max="1" width="8.85546875" style="17"/>
    <col min="2" max="2" width="18.140625" style="17" customWidth="1"/>
    <col min="3" max="8" width="8.85546875" style="17"/>
    <col min="9" max="12" width="9.7109375" style="17" customWidth="1"/>
    <col min="13" max="19" width="8.85546875" style="17"/>
    <col min="20" max="20" width="2.28515625" style="17" customWidth="1"/>
    <col min="21" max="16384" width="8.85546875" style="17"/>
  </cols>
  <sheetData>
    <row r="1" spans="1:21" ht="12.75" x14ac:dyDescent="0.2">
      <c r="A1" s="384" t="s">
        <v>153</v>
      </c>
      <c r="B1" s="384"/>
      <c r="C1" s="384"/>
      <c r="D1" s="384"/>
      <c r="E1" s="384"/>
      <c r="F1" s="384"/>
      <c r="G1" s="384"/>
    </row>
    <row r="2" spans="1:21" ht="39.75" customHeight="1" x14ac:dyDescent="0.2">
      <c r="A2" s="410" t="s">
        <v>303</v>
      </c>
      <c r="B2" s="410"/>
      <c r="C2" s="410"/>
      <c r="D2" s="410"/>
      <c r="E2" s="410"/>
      <c r="F2" s="410"/>
      <c r="G2" s="410"/>
      <c r="H2" s="234"/>
      <c r="I2" s="235"/>
    </row>
    <row r="3" spans="1:21" ht="12.75" x14ac:dyDescent="0.2">
      <c r="A3" s="64"/>
      <c r="B3" s="64"/>
      <c r="C3" s="64"/>
      <c r="D3" s="64"/>
      <c r="E3" s="64"/>
      <c r="F3" s="64"/>
      <c r="G3" s="64"/>
    </row>
    <row r="4" spans="1:21" x14ac:dyDescent="0.2">
      <c r="A4" s="17" t="s">
        <v>1</v>
      </c>
      <c r="B4" s="392" t="str">
        <f>'CL_1 - Project Review'!C3</f>
        <v>Project Name</v>
      </c>
      <c r="C4" s="392"/>
      <c r="D4" s="392"/>
      <c r="E4" s="392"/>
      <c r="F4" s="17" t="s">
        <v>0</v>
      </c>
      <c r="G4" s="50">
        <f ca="1">'CL_1 - Project Review'!G5</f>
        <v>45644</v>
      </c>
    </row>
    <row r="5" spans="1:21" x14ac:dyDescent="0.2">
      <c r="A5" s="22"/>
      <c r="B5" s="22"/>
      <c r="C5" s="22"/>
      <c r="D5" s="22"/>
      <c r="E5" s="22"/>
      <c r="F5" s="22"/>
    </row>
    <row r="6" spans="1:21" x14ac:dyDescent="0.2">
      <c r="A6" s="196" t="s">
        <v>154</v>
      </c>
      <c r="B6" s="196"/>
      <c r="C6" s="196"/>
      <c r="D6" s="196"/>
      <c r="E6" s="196"/>
      <c r="F6" s="196"/>
      <c r="G6" s="197"/>
    </row>
    <row r="7" spans="1:21" ht="3.6" customHeight="1" x14ac:dyDescent="0.2">
      <c r="A7" s="51"/>
      <c r="B7" s="51"/>
      <c r="C7" s="51"/>
      <c r="D7" s="51"/>
      <c r="E7" s="51"/>
      <c r="F7" s="51"/>
    </row>
    <row r="8" spans="1:21" x14ac:dyDescent="0.2">
      <c r="A8" s="404" t="s">
        <v>155</v>
      </c>
      <c r="B8" s="404"/>
      <c r="C8" s="404"/>
      <c r="D8" s="404"/>
      <c r="E8" s="404"/>
      <c r="F8" s="404"/>
      <c r="G8" s="404"/>
    </row>
    <row r="9" spans="1:21" x14ac:dyDescent="0.2">
      <c r="A9" s="411" t="s">
        <v>415</v>
      </c>
      <c r="B9" s="411"/>
      <c r="C9" s="411"/>
      <c r="D9" s="411"/>
      <c r="E9" s="411"/>
      <c r="F9" s="411"/>
      <c r="G9" s="411"/>
    </row>
    <row r="11" spans="1:21" x14ac:dyDescent="0.2">
      <c r="A11" s="236" t="s">
        <v>156</v>
      </c>
      <c r="B11" s="236"/>
      <c r="C11" s="412" t="s">
        <v>157</v>
      </c>
      <c r="D11" s="412"/>
      <c r="E11" s="412"/>
      <c r="F11" s="412"/>
      <c r="G11" s="237"/>
    </row>
    <row r="12" spans="1:21" ht="12.75" x14ac:dyDescent="0.2">
      <c r="A12" s="211" t="s">
        <v>158</v>
      </c>
      <c r="B12" s="211"/>
      <c r="C12" s="212" t="s">
        <v>74</v>
      </c>
      <c r="D12" s="212" t="s">
        <v>75</v>
      </c>
      <c r="E12" s="212" t="s">
        <v>92</v>
      </c>
      <c r="F12" s="212" t="s">
        <v>76</v>
      </c>
      <c r="I12" s="20" t="s">
        <v>74</v>
      </c>
      <c r="J12" s="20" t="s">
        <v>75</v>
      </c>
      <c r="K12" s="20" t="s">
        <v>92</v>
      </c>
      <c r="L12" s="20" t="s">
        <v>76</v>
      </c>
      <c r="U12" s="16"/>
    </row>
    <row r="13" spans="1:21" ht="12.75" thickBot="1" x14ac:dyDescent="0.25">
      <c r="A13" s="17" t="s">
        <v>159</v>
      </c>
      <c r="C13" s="238">
        <v>0</v>
      </c>
      <c r="D13" s="238">
        <v>1</v>
      </c>
      <c r="E13" s="238">
        <v>0</v>
      </c>
      <c r="F13" s="238">
        <v>0</v>
      </c>
      <c r="I13" s="20">
        <v>30</v>
      </c>
      <c r="J13" s="20">
        <v>58</v>
      </c>
      <c r="K13" s="20">
        <v>71</v>
      </c>
      <c r="L13" s="20">
        <v>78</v>
      </c>
    </row>
    <row r="15" spans="1:21" x14ac:dyDescent="0.2">
      <c r="A15" s="17" t="s">
        <v>160</v>
      </c>
      <c r="C15" s="239">
        <f>SUM(C13:F13)</f>
        <v>1</v>
      </c>
      <c r="D15" s="17" t="s">
        <v>13</v>
      </c>
      <c r="F15" s="240"/>
      <c r="I15" s="17" t="s">
        <v>161</v>
      </c>
      <c r="J15" s="17">
        <v>1.25</v>
      </c>
      <c r="K15" s="17" t="s">
        <v>14</v>
      </c>
    </row>
    <row r="16" spans="1:21" x14ac:dyDescent="0.2">
      <c r="A16" s="17" t="s">
        <v>162</v>
      </c>
      <c r="C16" s="239">
        <f>IF(I18=0,ROUND(((C13*I13+D13*J13+E13*K13+F13*L13)/C15),0),I18)</f>
        <v>58</v>
      </c>
      <c r="F16" s="241"/>
    </row>
    <row r="17" spans="1:12" x14ac:dyDescent="0.2">
      <c r="D17" s="20"/>
      <c r="I17" s="242" t="s">
        <v>131</v>
      </c>
      <c r="J17" s="243"/>
      <c r="K17" s="243"/>
      <c r="L17" s="199"/>
    </row>
    <row r="18" spans="1:12" x14ac:dyDescent="0.2">
      <c r="I18" s="244">
        <v>0</v>
      </c>
      <c r="J18" s="243" t="s">
        <v>163</v>
      </c>
      <c r="K18" s="243"/>
      <c r="L18" s="199"/>
    </row>
    <row r="19" spans="1:12" x14ac:dyDescent="0.2">
      <c r="A19" s="245" t="s">
        <v>164</v>
      </c>
      <c r="B19" s="245"/>
      <c r="C19" s="407" t="s">
        <v>157</v>
      </c>
      <c r="D19" s="407"/>
      <c r="E19" s="407"/>
      <c r="F19" s="407"/>
      <c r="G19" s="246"/>
    </row>
    <row r="20" spans="1:12" x14ac:dyDescent="0.2">
      <c r="A20" s="211" t="s">
        <v>158</v>
      </c>
      <c r="B20" s="211"/>
      <c r="C20" s="212" t="s">
        <v>74</v>
      </c>
      <c r="D20" s="212" t="s">
        <v>75</v>
      </c>
      <c r="E20" s="212" t="s">
        <v>92</v>
      </c>
      <c r="F20" s="212" t="s">
        <v>76</v>
      </c>
      <c r="I20" s="408" t="s">
        <v>165</v>
      </c>
      <c r="J20" s="408"/>
      <c r="K20" s="408"/>
      <c r="L20" s="408"/>
    </row>
    <row r="21" spans="1:12" ht="12.75" thickBot="1" x14ac:dyDescent="0.25">
      <c r="A21" s="17" t="s">
        <v>166</v>
      </c>
      <c r="C21" s="238">
        <v>0</v>
      </c>
      <c r="D21" s="238">
        <v>0</v>
      </c>
      <c r="E21" s="238">
        <v>0</v>
      </c>
      <c r="F21" s="238">
        <v>0</v>
      </c>
      <c r="I21" s="20" t="s">
        <v>74</v>
      </c>
      <c r="J21" s="20" t="s">
        <v>75</v>
      </c>
      <c r="K21" s="20" t="s">
        <v>92</v>
      </c>
      <c r="L21" s="20" t="s">
        <v>76</v>
      </c>
    </row>
    <row r="22" spans="1:12" ht="12.75" thickBot="1" x14ac:dyDescent="0.25">
      <c r="A22" s="17" t="s">
        <v>167</v>
      </c>
      <c r="C22" s="247">
        <v>0</v>
      </c>
      <c r="D22" s="247">
        <v>0</v>
      </c>
      <c r="E22" s="247">
        <v>0</v>
      </c>
      <c r="F22" s="247">
        <v>0</v>
      </c>
      <c r="I22" s="20">
        <v>39</v>
      </c>
      <c r="J22" s="20">
        <v>61</v>
      </c>
      <c r="K22" s="20">
        <v>74</v>
      </c>
      <c r="L22" s="20">
        <v>80</v>
      </c>
    </row>
    <row r="23" spans="1:12" ht="12.75" thickBot="1" x14ac:dyDescent="0.25">
      <c r="A23" s="17" t="s">
        <v>168</v>
      </c>
      <c r="C23" s="247">
        <v>0</v>
      </c>
      <c r="D23" s="247">
        <v>0</v>
      </c>
      <c r="E23" s="247">
        <v>0</v>
      </c>
      <c r="F23" s="247">
        <v>0</v>
      </c>
      <c r="I23" s="20">
        <v>49</v>
      </c>
      <c r="J23" s="20">
        <v>69</v>
      </c>
      <c r="K23" s="20">
        <v>79</v>
      </c>
      <c r="L23" s="20">
        <v>84</v>
      </c>
    </row>
    <row r="24" spans="1:12" ht="12.75" thickBot="1" x14ac:dyDescent="0.25">
      <c r="A24" s="17" t="s">
        <v>169</v>
      </c>
      <c r="C24" s="247">
        <v>0</v>
      </c>
      <c r="D24" s="247">
        <v>0</v>
      </c>
      <c r="E24" s="247">
        <v>0</v>
      </c>
      <c r="F24" s="247">
        <v>0</v>
      </c>
      <c r="I24" s="20">
        <v>68</v>
      </c>
      <c r="J24" s="20">
        <v>79</v>
      </c>
      <c r="K24" s="20">
        <v>86</v>
      </c>
      <c r="L24" s="20">
        <v>89</v>
      </c>
    </row>
    <row r="25" spans="1:12" ht="12.75" thickBot="1" x14ac:dyDescent="0.25">
      <c r="A25" s="17" t="s">
        <v>170</v>
      </c>
      <c r="C25" s="247">
        <v>0</v>
      </c>
      <c r="D25" s="247">
        <v>1</v>
      </c>
      <c r="E25" s="247">
        <v>0</v>
      </c>
      <c r="F25" s="247">
        <v>0</v>
      </c>
      <c r="I25" s="20">
        <v>64</v>
      </c>
      <c r="J25" s="20">
        <v>74</v>
      </c>
      <c r="K25" s="20">
        <v>81</v>
      </c>
      <c r="L25" s="20">
        <v>85</v>
      </c>
    </row>
    <row r="26" spans="1:12" ht="12.75" thickBot="1" x14ac:dyDescent="0.25">
      <c r="A26" s="17" t="s">
        <v>171</v>
      </c>
      <c r="C26" s="247">
        <v>0</v>
      </c>
      <c r="D26" s="247">
        <v>0</v>
      </c>
      <c r="E26" s="247">
        <v>0</v>
      </c>
      <c r="F26" s="247">
        <v>0</v>
      </c>
    </row>
    <row r="27" spans="1:12" ht="12.75" thickBot="1" x14ac:dyDescent="0.25">
      <c r="A27" s="17" t="s">
        <v>172</v>
      </c>
      <c r="C27" s="248">
        <v>92</v>
      </c>
      <c r="D27" s="248">
        <v>92</v>
      </c>
      <c r="E27" s="248">
        <v>92</v>
      </c>
      <c r="F27" s="248">
        <v>92</v>
      </c>
      <c r="I27" s="242" t="s">
        <v>131</v>
      </c>
      <c r="J27" s="243"/>
      <c r="K27" s="243"/>
      <c r="L27" s="199"/>
    </row>
    <row r="28" spans="1:12" ht="12.75" thickBot="1" x14ac:dyDescent="0.25">
      <c r="C28" s="20"/>
      <c r="D28" s="18" t="s">
        <v>173</v>
      </c>
      <c r="E28" s="249" t="s">
        <v>94</v>
      </c>
      <c r="F28" s="20" t="s">
        <v>174</v>
      </c>
      <c r="I28" s="244">
        <v>0</v>
      </c>
      <c r="J28" s="243" t="s">
        <v>175</v>
      </c>
      <c r="K28" s="243"/>
      <c r="L28" s="199"/>
    </row>
    <row r="30" spans="1:12" x14ac:dyDescent="0.2">
      <c r="C30" s="250">
        <f>SUM(C21:F25)+SUM(C26:F26)</f>
        <v>1</v>
      </c>
      <c r="D30" s="17" t="s">
        <v>13</v>
      </c>
      <c r="E30" s="18" t="s">
        <v>20</v>
      </c>
      <c r="F30" s="251">
        <f>0.05+0.009*C31*100</f>
        <v>0.05</v>
      </c>
      <c r="I30" s="17" t="s">
        <v>161</v>
      </c>
      <c r="J30" s="17">
        <v>1.25</v>
      </c>
      <c r="K30" s="17" t="s">
        <v>14</v>
      </c>
    </row>
    <row r="31" spans="1:12" x14ac:dyDescent="0.2">
      <c r="C31" s="252">
        <f>(SUM(C21:F21)+SUM(C24:F24)/2+IF(E28="Y",SUM(C26:F26),0))/C30</f>
        <v>0</v>
      </c>
      <c r="E31" s="18" t="s">
        <v>21</v>
      </c>
      <c r="F31" s="253">
        <f>F30*J30*C30*43560/12+I28-IF(E28="N",0.05*J30*SUM(C26:F26)*43560/12,0)</f>
        <v>226.875</v>
      </c>
    </row>
    <row r="32" spans="1:12" x14ac:dyDescent="0.2">
      <c r="C32" s="18" t="s">
        <v>176</v>
      </c>
      <c r="D32" s="250">
        <f>ROUND(((SUM(C21:F21)*98+C22*I22+C23*I23+C24*I24+D22*J22+D23*J23+D24*J24+E22*K22+E23*K23+E24*K24+F22*L22+F23*L23+F24*L24+C26*C27+D26*D27+E26*E27+F26*F27+C25*I25+D25*J25+E25*K25+F25*L25)/C30),0)</f>
        <v>74</v>
      </c>
      <c r="F32" s="201" t="str">
        <f>IF(I28&gt;0,"MANUAL"," ")</f>
        <v xml:space="preserve"> </v>
      </c>
    </row>
    <row r="33" spans="1:12" x14ac:dyDescent="0.2">
      <c r="C33" s="18" t="s">
        <v>177</v>
      </c>
      <c r="D33" s="250">
        <f>ROUND(1000/((10+5*J30+10*1.25*F30)-(10*((1.25*F30)^2+1.25*1.25*F30*J30)^0.5)),0)</f>
        <v>73</v>
      </c>
      <c r="F33" s="18" t="s">
        <v>178</v>
      </c>
      <c r="G33" s="251">
        <f>1.25*F30</f>
        <v>6.25E-2</v>
      </c>
    </row>
    <row r="34" spans="1:12" x14ac:dyDescent="0.2">
      <c r="A34" s="20"/>
    </row>
    <row r="35" spans="1:12" x14ac:dyDescent="0.2">
      <c r="A35" s="254" t="s">
        <v>179</v>
      </c>
      <c r="B35" s="254"/>
      <c r="C35" s="409" t="s">
        <v>157</v>
      </c>
      <c r="D35" s="409"/>
      <c r="E35" s="409"/>
      <c r="F35" s="409"/>
      <c r="G35" s="255"/>
    </row>
    <row r="36" spans="1:12" x14ac:dyDescent="0.2">
      <c r="A36" s="211" t="s">
        <v>158</v>
      </c>
      <c r="B36" s="211"/>
      <c r="C36" s="212" t="s">
        <v>74</v>
      </c>
      <c r="D36" s="212" t="s">
        <v>75</v>
      </c>
      <c r="E36" s="212" t="s">
        <v>92</v>
      </c>
      <c r="F36" s="212" t="s">
        <v>76</v>
      </c>
      <c r="I36" s="408" t="s">
        <v>165</v>
      </c>
      <c r="J36" s="408"/>
      <c r="K36" s="408"/>
      <c r="L36" s="408"/>
    </row>
    <row r="37" spans="1:12" ht="12.75" thickBot="1" x14ac:dyDescent="0.25">
      <c r="A37" s="17" t="s">
        <v>166</v>
      </c>
      <c r="C37" s="238">
        <v>0</v>
      </c>
      <c r="D37" s="238">
        <v>1</v>
      </c>
      <c r="E37" s="238">
        <v>0</v>
      </c>
      <c r="F37" s="238">
        <v>0</v>
      </c>
      <c r="I37" s="20" t="s">
        <v>74</v>
      </c>
      <c r="J37" s="20" t="s">
        <v>75</v>
      </c>
      <c r="K37" s="20" t="s">
        <v>92</v>
      </c>
      <c r="L37" s="20" t="s">
        <v>76</v>
      </c>
    </row>
    <row r="38" spans="1:12" ht="12.75" thickBot="1" x14ac:dyDescent="0.25">
      <c r="A38" s="17" t="s">
        <v>180</v>
      </c>
      <c r="C38" s="247">
        <v>0</v>
      </c>
      <c r="D38" s="247">
        <v>0</v>
      </c>
      <c r="E38" s="247">
        <v>0</v>
      </c>
      <c r="F38" s="247">
        <v>0</v>
      </c>
      <c r="I38" s="20">
        <v>39</v>
      </c>
      <c r="J38" s="20">
        <v>61</v>
      </c>
      <c r="K38" s="20">
        <v>74</v>
      </c>
      <c r="L38" s="20">
        <v>80</v>
      </c>
    </row>
    <row r="39" spans="1:12" ht="12.75" thickBot="1" x14ac:dyDescent="0.25">
      <c r="A39" s="17" t="s">
        <v>181</v>
      </c>
      <c r="C39" s="247">
        <v>0</v>
      </c>
      <c r="D39" s="247">
        <v>0</v>
      </c>
      <c r="E39" s="247">
        <v>0</v>
      </c>
      <c r="F39" s="247">
        <v>0</v>
      </c>
      <c r="I39" s="20">
        <v>49</v>
      </c>
      <c r="J39" s="20">
        <v>69</v>
      </c>
      <c r="K39" s="20">
        <v>79</v>
      </c>
      <c r="L39" s="20">
        <v>84</v>
      </c>
    </row>
    <row r="40" spans="1:12" ht="12.75" thickBot="1" x14ac:dyDescent="0.25">
      <c r="A40" s="17" t="s">
        <v>169</v>
      </c>
      <c r="C40" s="247">
        <v>0</v>
      </c>
      <c r="D40" s="247">
        <v>0</v>
      </c>
      <c r="E40" s="247">
        <v>0</v>
      </c>
      <c r="F40" s="247">
        <v>0</v>
      </c>
      <c r="I40" s="20">
        <v>68</v>
      </c>
      <c r="J40" s="20">
        <v>79</v>
      </c>
      <c r="K40" s="20">
        <v>86</v>
      </c>
      <c r="L40" s="20">
        <v>89</v>
      </c>
    </row>
    <row r="41" spans="1:12" ht="12.75" thickBot="1" x14ac:dyDescent="0.25">
      <c r="A41" s="17" t="s">
        <v>170</v>
      </c>
      <c r="C41" s="247">
        <v>0</v>
      </c>
      <c r="D41" s="247">
        <v>0</v>
      </c>
      <c r="E41" s="247">
        <v>0</v>
      </c>
      <c r="F41" s="247">
        <v>0</v>
      </c>
      <c r="I41" s="20">
        <v>64</v>
      </c>
      <c r="J41" s="20">
        <v>74</v>
      </c>
      <c r="K41" s="20">
        <v>81</v>
      </c>
      <c r="L41" s="20">
        <v>85</v>
      </c>
    </row>
    <row r="42" spans="1:12" ht="12.75" thickBot="1" x14ac:dyDescent="0.25">
      <c r="A42" s="17" t="s">
        <v>171</v>
      </c>
      <c r="C42" s="247">
        <v>0</v>
      </c>
      <c r="D42" s="247">
        <v>0</v>
      </c>
      <c r="E42" s="247">
        <v>0</v>
      </c>
      <c r="F42" s="247">
        <v>0</v>
      </c>
    </row>
    <row r="43" spans="1:12" ht="12.75" thickBot="1" x14ac:dyDescent="0.25">
      <c r="A43" s="17" t="s">
        <v>172</v>
      </c>
      <c r="C43" s="248">
        <v>92</v>
      </c>
      <c r="D43" s="248">
        <v>92</v>
      </c>
      <c r="E43" s="248">
        <v>92</v>
      </c>
      <c r="F43" s="248">
        <v>92</v>
      </c>
      <c r="I43" s="242" t="s">
        <v>131</v>
      </c>
      <c r="J43" s="243"/>
      <c r="K43" s="243"/>
      <c r="L43" s="199"/>
    </row>
    <row r="44" spans="1:12" ht="12.75" thickBot="1" x14ac:dyDescent="0.25">
      <c r="C44" s="20"/>
      <c r="D44" s="18" t="s">
        <v>173</v>
      </c>
      <c r="E44" s="249" t="s">
        <v>94</v>
      </c>
      <c r="F44" s="20" t="s">
        <v>174</v>
      </c>
      <c r="I44" s="244">
        <v>0</v>
      </c>
      <c r="J44" s="243" t="s">
        <v>175</v>
      </c>
      <c r="K44" s="243"/>
      <c r="L44" s="199"/>
    </row>
    <row r="46" spans="1:12" x14ac:dyDescent="0.2">
      <c r="B46" s="18" t="s">
        <v>160</v>
      </c>
      <c r="C46" s="256">
        <f>SUM(C37:F41)+SUM(C42:F42)</f>
        <v>1</v>
      </c>
      <c r="D46" s="17" t="s">
        <v>13</v>
      </c>
      <c r="E46" s="18" t="s">
        <v>20</v>
      </c>
      <c r="F46" s="257">
        <f>0.05+0.009*C47*100</f>
        <v>0.95</v>
      </c>
      <c r="I46" s="17" t="s">
        <v>161</v>
      </c>
      <c r="J46" s="17">
        <v>1.25</v>
      </c>
      <c r="K46" s="17" t="s">
        <v>14</v>
      </c>
    </row>
    <row r="47" spans="1:12" x14ac:dyDescent="0.2">
      <c r="B47" s="18" t="s">
        <v>182</v>
      </c>
      <c r="C47" s="258">
        <f>(SUM(C37:F37)+SUM(C40:F40)/2+IF(E44="Y",SUM(C42:F42),0))/C46</f>
        <v>1</v>
      </c>
      <c r="E47" s="18" t="s">
        <v>21</v>
      </c>
      <c r="F47" s="259">
        <f>F46*J46*C46*43560/12+I44-IF(E44="N",0.05*J46*SUM(C42:F42)*43560/12,0)</f>
        <v>4310.625</v>
      </c>
    </row>
    <row r="48" spans="1:12" x14ac:dyDescent="0.2">
      <c r="C48" s="18" t="s">
        <v>176</v>
      </c>
      <c r="D48" s="256">
        <f>ROUND(((SUM(C37:F37)*98+C38*I38+C39*I39+C40*I40+D38*J38+D39*J39+D40*J40+E38*K38+E39*K39+E40*K40+F38*L38+F39*L39+F40*L40+C42*C43+D42*D43+E42*E43+F42*F43+C41*I41+D41*J41+E41*K41+F41*L41)/C46),0)</f>
        <v>98</v>
      </c>
      <c r="F48" s="201" t="str">
        <f>IF(I44&gt;0,"MANUAL"," ")</f>
        <v xml:space="preserve"> </v>
      </c>
    </row>
    <row r="49" spans="1:7" x14ac:dyDescent="0.2">
      <c r="C49" s="18" t="s">
        <v>177</v>
      </c>
      <c r="D49" s="256">
        <f>ROUND(1000/((10+5*J46+10*1.25*F46)-(10*((1.25*F46)^2+1.25*1.25*F46*J46)^0.5)),0)</f>
        <v>99</v>
      </c>
      <c r="F49" s="18" t="s">
        <v>178</v>
      </c>
      <c r="G49" s="257">
        <f>1.25*F46</f>
        <v>1.1875</v>
      </c>
    </row>
    <row r="50" spans="1:7" x14ac:dyDescent="0.2">
      <c r="A50" s="206" t="s">
        <v>183</v>
      </c>
    </row>
    <row r="51" spans="1:7" x14ac:dyDescent="0.2">
      <c r="A51" s="206" t="s">
        <v>184</v>
      </c>
    </row>
    <row r="52" spans="1:7" ht="12.75" thickBot="1" x14ac:dyDescent="0.25"/>
    <row r="53" spans="1:7" ht="15" x14ac:dyDescent="0.25">
      <c r="A53" s="49" t="s">
        <v>185</v>
      </c>
      <c r="B53" s="49"/>
      <c r="C53" s="49"/>
      <c r="D53" s="49"/>
      <c r="E53" s="49"/>
      <c r="F53" s="49"/>
      <c r="G53" s="49"/>
    </row>
    <row r="54" spans="1:7" ht="15" x14ac:dyDescent="0.25">
      <c r="A54" s="28" t="s">
        <v>207</v>
      </c>
      <c r="B54" s="28"/>
      <c r="C54" s="28"/>
      <c r="D54" s="28"/>
      <c r="E54" s="28"/>
      <c r="F54" s="28"/>
      <c r="G54" s="42" t="str">
        <f>'CL_1 - Project Review'!I57</f>
        <v>IDALS: Issue Date: 01/12/2023</v>
      </c>
    </row>
  </sheetData>
  <sheetProtection algorithmName="SHA-512" hashValue="N49zUomwUp+TG2krs9sOeWgKyOuqgsikOCFcVq/7x+1lGJCeosjvv03M3erwHYE5c31Xrfq+fegLNFF885R9mw==" saltValue="5VgQ1rdZeCk1JgAMK2yluQ==" spinCount="100000" sheet="1" selectLockedCells="1"/>
  <mergeCells count="10">
    <mergeCell ref="C19:F19"/>
    <mergeCell ref="I20:L20"/>
    <mergeCell ref="C35:F35"/>
    <mergeCell ref="I36:L36"/>
    <mergeCell ref="A1:G1"/>
    <mergeCell ref="A2:G2"/>
    <mergeCell ref="B4:E4"/>
    <mergeCell ref="A8:G8"/>
    <mergeCell ref="A9:G9"/>
    <mergeCell ref="C11:F11"/>
  </mergeCells>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BD660-5F8C-44FD-8D1F-ADD783DF7DAB}">
  <sheetPr>
    <tabColor theme="7" tint="0.79998168889431442"/>
    <pageSetUpPr fitToPage="1"/>
  </sheetPr>
  <dimension ref="A1:S79"/>
  <sheetViews>
    <sheetView view="pageBreakPreview" zoomScaleNormal="100" zoomScaleSheetLayoutView="100" workbookViewId="0">
      <selection activeCell="B20" sqref="B20"/>
    </sheetView>
  </sheetViews>
  <sheetFormatPr defaultColWidth="8.85546875" defaultRowHeight="12.75" x14ac:dyDescent="0.2"/>
  <cols>
    <col min="1" max="1" width="10.85546875" style="70" customWidth="1"/>
    <col min="2" max="8" width="10.7109375" style="70" customWidth="1"/>
    <col min="9" max="9" width="8.85546875" style="70"/>
    <col min="10" max="10" width="15.42578125" style="70" customWidth="1"/>
    <col min="11" max="16" width="8.85546875" style="70"/>
    <col min="17" max="17" width="8.85546875" style="70" customWidth="1"/>
    <col min="18" max="18" width="2.140625" style="70" customWidth="1"/>
    <col min="19" max="16384" width="8.85546875" style="70"/>
  </cols>
  <sheetData>
    <row r="1" spans="1:19" x14ac:dyDescent="0.2">
      <c r="A1" s="384" t="s">
        <v>187</v>
      </c>
      <c r="B1" s="384"/>
      <c r="C1" s="384"/>
      <c r="D1" s="384"/>
      <c r="E1" s="384"/>
      <c r="F1" s="384"/>
      <c r="G1" s="384"/>
      <c r="H1" s="384"/>
      <c r="I1" s="63"/>
    </row>
    <row r="2" spans="1:19" ht="39.75" customHeight="1" x14ac:dyDescent="0.2">
      <c r="A2" s="410" t="s">
        <v>303</v>
      </c>
      <c r="B2" s="410"/>
      <c r="C2" s="410"/>
      <c r="D2" s="410"/>
      <c r="E2" s="410"/>
      <c r="F2" s="410"/>
      <c r="G2" s="410"/>
      <c r="H2" s="410"/>
      <c r="I2" s="260"/>
    </row>
    <row r="3" spans="1:19" x14ac:dyDescent="0.2">
      <c r="A3" s="64"/>
      <c r="B3" s="64"/>
      <c r="C3" s="64"/>
      <c r="D3" s="64"/>
      <c r="E3" s="64"/>
      <c r="F3" s="64"/>
      <c r="G3" s="64"/>
      <c r="H3" s="64"/>
      <c r="I3" s="63"/>
      <c r="S3" s="16"/>
    </row>
    <row r="4" spans="1:19" x14ac:dyDescent="0.2">
      <c r="A4" s="70" t="s">
        <v>1</v>
      </c>
      <c r="B4" s="413" t="str">
        <f>'CL_1 - Project Review'!C3</f>
        <v>Project Name</v>
      </c>
      <c r="C4" s="413"/>
      <c r="D4" s="413"/>
      <c r="E4" s="413"/>
      <c r="F4" s="70" t="s">
        <v>0</v>
      </c>
      <c r="G4" s="414">
        <f ca="1">'CL_1 - Project Review'!G5</f>
        <v>45644</v>
      </c>
      <c r="H4" s="414"/>
    </row>
    <row r="5" spans="1:19" s="262" customFormat="1" x14ac:dyDescent="0.2">
      <c r="A5" s="261"/>
      <c r="B5" s="261"/>
      <c r="C5" s="261"/>
      <c r="D5" s="261"/>
      <c r="E5" s="261"/>
      <c r="F5" s="261"/>
      <c r="G5" s="261"/>
      <c r="H5" s="261"/>
    </row>
    <row r="6" spans="1:19" x14ac:dyDescent="0.2">
      <c r="S6" s="16"/>
    </row>
    <row r="7" spans="1:19" x14ac:dyDescent="0.2">
      <c r="A7" s="263" t="s">
        <v>188</v>
      </c>
      <c r="B7" s="263"/>
      <c r="C7" s="263"/>
      <c r="D7" s="263"/>
      <c r="E7" s="263"/>
      <c r="F7" s="263"/>
      <c r="G7" s="263"/>
      <c r="H7" s="263"/>
    </row>
    <row r="9" spans="1:19" x14ac:dyDescent="0.2">
      <c r="B9" s="67" t="s">
        <v>160</v>
      </c>
      <c r="C9" s="68">
        <f>'DE_2 - Det Wtrshed Info'!C46</f>
        <v>1</v>
      </c>
      <c r="D9" s="70" t="s">
        <v>13</v>
      </c>
      <c r="E9" s="67" t="s">
        <v>20</v>
      </c>
      <c r="F9" s="264">
        <f>'DE_2 - Det Wtrshed Info'!F46</f>
        <v>0.95</v>
      </c>
    </row>
    <row r="10" spans="1:19" x14ac:dyDescent="0.2">
      <c r="B10" s="67" t="s">
        <v>182</v>
      </c>
      <c r="C10" s="265">
        <f>'DE_2 - Det Wtrshed Info'!C47</f>
        <v>1</v>
      </c>
      <c r="E10" s="67" t="s">
        <v>21</v>
      </c>
      <c r="F10" s="266">
        <f>'DE_2 - Det Wtrshed Info'!F47</f>
        <v>4310.625</v>
      </c>
      <c r="G10" s="70" t="s">
        <v>5</v>
      </c>
    </row>
    <row r="11" spans="1:19" x14ac:dyDescent="0.2">
      <c r="C11" s="67" t="s">
        <v>176</v>
      </c>
      <c r="D11" s="68">
        <f>'DE_2 - Det Wtrshed Info'!D48</f>
        <v>98</v>
      </c>
      <c r="E11" s="67" t="s">
        <v>178</v>
      </c>
      <c r="F11" s="267">
        <f>'DE_2 - Det Wtrshed Info'!G49</f>
        <v>1.1875</v>
      </c>
      <c r="G11" s="70" t="s">
        <v>189</v>
      </c>
      <c r="S11" s="16"/>
    </row>
    <row r="12" spans="1:19" x14ac:dyDescent="0.2">
      <c r="C12" s="67" t="s">
        <v>190</v>
      </c>
      <c r="D12" s="68">
        <f>'DE_2 - Det Wtrshed Info'!D49</f>
        <v>99</v>
      </c>
    </row>
    <row r="14" spans="1:19" x14ac:dyDescent="0.2">
      <c r="A14" s="263" t="s">
        <v>191</v>
      </c>
      <c r="B14" s="263"/>
      <c r="C14" s="263"/>
      <c r="D14" s="263"/>
      <c r="E14" s="263"/>
      <c r="F14" s="263"/>
      <c r="G14" s="263"/>
      <c r="H14" s="263"/>
    </row>
    <row r="15" spans="1:19" x14ac:dyDescent="0.2">
      <c r="A15" s="415" t="s">
        <v>192</v>
      </c>
      <c r="B15" s="415"/>
      <c r="C15" s="415"/>
      <c r="D15" s="415"/>
      <c r="E15" s="415"/>
      <c r="F15" s="415"/>
      <c r="G15" s="415"/>
      <c r="H15" s="415"/>
    </row>
    <row r="16" spans="1:19" x14ac:dyDescent="0.2">
      <c r="S16" s="16"/>
    </row>
    <row r="17" spans="1:8" x14ac:dyDescent="0.2">
      <c r="B17" s="268"/>
      <c r="C17" s="397" t="s">
        <v>193</v>
      </c>
      <c r="D17" s="397"/>
      <c r="E17" s="397" t="s">
        <v>194</v>
      </c>
      <c r="F17" s="397"/>
      <c r="G17" s="397" t="s">
        <v>48</v>
      </c>
      <c r="H17" s="397"/>
    </row>
    <row r="18" spans="1:8" x14ac:dyDescent="0.2">
      <c r="B18" s="77" t="s">
        <v>50</v>
      </c>
      <c r="C18" s="77" t="s">
        <v>46</v>
      </c>
      <c r="D18" s="77" t="s">
        <v>47</v>
      </c>
      <c r="E18" s="77" t="s">
        <v>46</v>
      </c>
      <c r="F18" s="77" t="s">
        <v>47</v>
      </c>
      <c r="G18" s="77" t="s">
        <v>46</v>
      </c>
      <c r="H18" s="77" t="s">
        <v>47</v>
      </c>
    </row>
    <row r="19" spans="1:8" x14ac:dyDescent="0.2">
      <c r="A19" s="269" t="s">
        <v>6</v>
      </c>
      <c r="B19" s="270" t="s">
        <v>14</v>
      </c>
      <c r="C19" s="270" t="s">
        <v>2</v>
      </c>
      <c r="D19" s="270" t="s">
        <v>5</v>
      </c>
      <c r="E19" s="270" t="s">
        <v>2</v>
      </c>
      <c r="F19" s="270" t="s">
        <v>5</v>
      </c>
      <c r="G19" s="270" t="s">
        <v>2</v>
      </c>
      <c r="H19" s="270" t="s">
        <v>5</v>
      </c>
    </row>
    <row r="20" spans="1:8" ht="13.5" thickBot="1" x14ac:dyDescent="0.25">
      <c r="A20" s="68">
        <v>1</v>
      </c>
      <c r="B20" s="271">
        <v>2.67</v>
      </c>
      <c r="C20" s="272">
        <v>7.0000000000000007E-2</v>
      </c>
      <c r="D20" s="273">
        <v>650</v>
      </c>
      <c r="E20" s="274">
        <v>1</v>
      </c>
      <c r="F20" s="275">
        <v>2600</v>
      </c>
      <c r="G20" s="276">
        <v>3.9</v>
      </c>
      <c r="H20" s="277">
        <v>9100</v>
      </c>
    </row>
    <row r="21" spans="1:8" ht="13.5" thickBot="1" x14ac:dyDescent="0.25">
      <c r="A21" s="68">
        <v>2</v>
      </c>
      <c r="B21" s="278">
        <v>3.08</v>
      </c>
      <c r="C21" s="279">
        <v>0.19</v>
      </c>
      <c r="D21" s="280">
        <v>1100</v>
      </c>
      <c r="E21" s="281">
        <v>1.4</v>
      </c>
      <c r="F21" s="282">
        <v>3500</v>
      </c>
      <c r="G21" s="283">
        <v>4.5</v>
      </c>
      <c r="H21" s="284">
        <v>10600</v>
      </c>
    </row>
    <row r="22" spans="1:8" ht="13.5" thickBot="1" x14ac:dyDescent="0.25">
      <c r="A22" s="68">
        <v>5</v>
      </c>
      <c r="B22" s="278">
        <v>3.81</v>
      </c>
      <c r="C22" s="279">
        <v>0.54</v>
      </c>
      <c r="D22" s="280">
        <v>2100</v>
      </c>
      <c r="E22" s="281">
        <v>2.2000000000000002</v>
      </c>
      <c r="F22" s="282">
        <v>5400</v>
      </c>
      <c r="G22" s="283">
        <v>5.6</v>
      </c>
      <c r="H22" s="284">
        <v>13300</v>
      </c>
    </row>
    <row r="23" spans="1:8" ht="13.5" thickBot="1" x14ac:dyDescent="0.25">
      <c r="A23" s="68">
        <v>10</v>
      </c>
      <c r="B23" s="278">
        <v>4.46</v>
      </c>
      <c r="C23" s="279">
        <v>0.94</v>
      </c>
      <c r="D23" s="280">
        <v>3300</v>
      </c>
      <c r="E23" s="281">
        <v>3</v>
      </c>
      <c r="F23" s="282">
        <v>7200</v>
      </c>
      <c r="G23" s="283">
        <v>6.6</v>
      </c>
      <c r="H23" s="284">
        <v>15800</v>
      </c>
    </row>
    <row r="24" spans="1:8" ht="13.5" thickBot="1" x14ac:dyDescent="0.25">
      <c r="A24" s="68">
        <v>25</v>
      </c>
      <c r="B24" s="278">
        <v>5.44</v>
      </c>
      <c r="C24" s="279">
        <v>1.7</v>
      </c>
      <c r="D24" s="280">
        <v>5200</v>
      </c>
      <c r="E24" s="281">
        <v>4.0999999999999996</v>
      </c>
      <c r="F24" s="282">
        <v>10000</v>
      </c>
      <c r="G24" s="283">
        <v>8</v>
      </c>
      <c r="H24" s="284">
        <v>19500</v>
      </c>
    </row>
    <row r="25" spans="1:8" ht="13.5" thickBot="1" x14ac:dyDescent="0.25">
      <c r="A25" s="68">
        <v>50</v>
      </c>
      <c r="B25" s="278">
        <v>6.26</v>
      </c>
      <c r="C25" s="279">
        <v>2.2999999999999998</v>
      </c>
      <c r="D25" s="280">
        <v>7000</v>
      </c>
      <c r="E25" s="281">
        <v>5.2</v>
      </c>
      <c r="F25" s="282">
        <v>12600</v>
      </c>
      <c r="G25" s="283">
        <v>9.3000000000000007</v>
      </c>
      <c r="H25" s="284">
        <v>22500</v>
      </c>
    </row>
    <row r="26" spans="1:8" ht="13.5" thickBot="1" x14ac:dyDescent="0.25">
      <c r="A26" s="68">
        <v>100</v>
      </c>
      <c r="B26" s="278">
        <v>7.12</v>
      </c>
      <c r="C26" s="279">
        <v>3.1</v>
      </c>
      <c r="D26" s="280">
        <v>9200</v>
      </c>
      <c r="E26" s="281">
        <v>6.3</v>
      </c>
      <c r="F26" s="282">
        <v>15300</v>
      </c>
      <c r="G26" s="283">
        <v>11</v>
      </c>
      <c r="H26" s="284">
        <v>25800</v>
      </c>
    </row>
    <row r="27" spans="1:8" x14ac:dyDescent="0.2">
      <c r="A27" s="68"/>
      <c r="B27" s="76"/>
      <c r="C27" s="285"/>
      <c r="D27" s="286"/>
      <c r="E27" s="90"/>
      <c r="F27" s="286"/>
      <c r="G27" s="90"/>
      <c r="H27" s="287"/>
    </row>
    <row r="28" spans="1:8" x14ac:dyDescent="0.2">
      <c r="D28" s="64"/>
      <c r="E28" s="64" t="s">
        <v>195</v>
      </c>
    </row>
    <row r="29" spans="1:8" x14ac:dyDescent="0.2">
      <c r="A29" s="263" t="s">
        <v>196</v>
      </c>
      <c r="B29" s="263"/>
      <c r="D29" s="67" t="s">
        <v>178</v>
      </c>
      <c r="E29" s="76">
        <f>H20/43560/C9*12</f>
        <v>2.506887052341598</v>
      </c>
      <c r="F29" s="70" t="s">
        <v>189</v>
      </c>
    </row>
    <row r="30" spans="1:8" x14ac:dyDescent="0.2">
      <c r="D30" s="67" t="s">
        <v>197</v>
      </c>
      <c r="E30" s="90">
        <f>G20*640/C9/E29</f>
        <v>995.65714285714273</v>
      </c>
      <c r="F30" s="70" t="s">
        <v>198</v>
      </c>
    </row>
    <row r="31" spans="1:8" ht="13.5" thickBot="1" x14ac:dyDescent="0.25">
      <c r="D31" s="67" t="s">
        <v>199</v>
      </c>
      <c r="E31" s="288">
        <v>0.02</v>
      </c>
      <c r="F31" s="70" t="s">
        <v>200</v>
      </c>
    </row>
    <row r="32" spans="1:8" x14ac:dyDescent="0.2">
      <c r="D32" s="67" t="s">
        <v>201</v>
      </c>
      <c r="E32" s="76">
        <f>E31*G20</f>
        <v>7.8E-2</v>
      </c>
      <c r="F32" s="70" t="s">
        <v>2</v>
      </c>
    </row>
    <row r="34" spans="1:19" x14ac:dyDescent="0.2">
      <c r="A34" s="263" t="s">
        <v>202</v>
      </c>
      <c r="B34" s="263"/>
      <c r="C34" s="263"/>
      <c r="D34" s="263"/>
      <c r="E34" s="263"/>
      <c r="F34" s="263"/>
      <c r="G34" s="263"/>
      <c r="H34" s="263"/>
    </row>
    <row r="35" spans="1:19" x14ac:dyDescent="0.2">
      <c r="A35" s="201" t="str">
        <f>IF(J38&gt;0,"MANUAL",IF(J39&gt;0,"MANUAL",IF(J40&gt;0,"MANUAL",IF(J41&gt;0,"MANUAL",IF(J42&gt;0,"MANUAL",IF(J43&gt;0,"MANUAL",IF(J44&gt;0,"MANUAL"," ")))))))</f>
        <v xml:space="preserve"> </v>
      </c>
      <c r="B35" s="201"/>
      <c r="C35" s="201"/>
      <c r="D35" s="201"/>
      <c r="E35" s="201"/>
      <c r="F35" s="201"/>
      <c r="G35" s="201"/>
      <c r="H35" s="201"/>
      <c r="J35" s="289" t="s">
        <v>131</v>
      </c>
    </row>
    <row r="36" spans="1:19" x14ac:dyDescent="0.2">
      <c r="A36" s="268"/>
      <c r="B36" s="77" t="s">
        <v>7</v>
      </c>
      <c r="C36" s="77" t="s">
        <v>8</v>
      </c>
      <c r="D36" s="77" t="s">
        <v>9</v>
      </c>
      <c r="E36" s="77" t="s">
        <v>10</v>
      </c>
      <c r="F36" s="77" t="s">
        <v>11</v>
      </c>
      <c r="G36" s="77" t="s">
        <v>12</v>
      </c>
      <c r="H36" s="77" t="s">
        <v>203</v>
      </c>
      <c r="J36" s="290" t="s">
        <v>204</v>
      </c>
      <c r="M36" s="291" t="s">
        <v>7</v>
      </c>
    </row>
    <row r="37" spans="1:19" x14ac:dyDescent="0.2">
      <c r="A37" s="270" t="s">
        <v>6</v>
      </c>
      <c r="B37" s="270" t="s">
        <v>2</v>
      </c>
      <c r="C37" s="270" t="s">
        <v>2</v>
      </c>
      <c r="D37" s="270"/>
      <c r="E37" s="270"/>
      <c r="F37" s="270" t="s">
        <v>5</v>
      </c>
      <c r="G37" s="270" t="s">
        <v>5</v>
      </c>
      <c r="H37" s="270" t="s">
        <v>5</v>
      </c>
      <c r="J37" s="292" t="s">
        <v>2</v>
      </c>
      <c r="M37" s="293" t="s">
        <v>2</v>
      </c>
    </row>
    <row r="38" spans="1:19" ht="13.5" thickBot="1" x14ac:dyDescent="0.25">
      <c r="A38" s="68">
        <v>1</v>
      </c>
      <c r="B38" s="68">
        <f t="shared" ref="B38:B44" si="0">IF(M38&lt;1,ROUND(M38,2),IF(M38&lt;10,ROUND(M38,1),ROUND(M38,0)))</f>
        <v>0.08</v>
      </c>
      <c r="C38" s="68">
        <f t="shared" ref="C38:C44" si="1">IF(G20&lt;1,ROUND(G20,2),IF(G20&lt;10,ROUND(G20,1),ROUND(G20,0)))</f>
        <v>3.9</v>
      </c>
      <c r="D38" s="76">
        <f t="shared" ref="D38:D44" si="2">M38/C38</f>
        <v>0.02</v>
      </c>
      <c r="E38" s="88">
        <f>0.683-1.43*D38+1.64*D38^2-0.804*D38^3</f>
        <v>0.65504956800000014</v>
      </c>
      <c r="F38" s="286">
        <f t="shared" ref="F38:F44" si="3">H20</f>
        <v>9100</v>
      </c>
      <c r="G38" s="294">
        <f>E38*F38</f>
        <v>5960.9510688000009</v>
      </c>
      <c r="H38" s="294">
        <f t="shared" ref="H38:H44" si="4">IF(B38="NA","NA",ROUND(G38*$H$45,-2))</f>
        <v>6900</v>
      </c>
      <c r="J38" s="295">
        <v>0</v>
      </c>
      <c r="M38" s="296">
        <f>IF(J38=0,E32,J38)</f>
        <v>7.8E-2</v>
      </c>
    </row>
    <row r="39" spans="1:19" ht="13.5" thickBot="1" x14ac:dyDescent="0.25">
      <c r="A39" s="68">
        <v>2</v>
      </c>
      <c r="B39" s="68">
        <f t="shared" si="0"/>
        <v>0.19</v>
      </c>
      <c r="C39" s="68">
        <f t="shared" si="1"/>
        <v>4.5</v>
      </c>
      <c r="D39" s="76">
        <f t="shared" si="2"/>
        <v>4.2222222222222223E-2</v>
      </c>
      <c r="E39" s="88">
        <f t="shared" ref="E39:E44" si="5">0.683-1.43*D39+1.64*D39^2-0.804*D39^3</f>
        <v>0.62548535927572024</v>
      </c>
      <c r="F39" s="286">
        <f t="shared" si="3"/>
        <v>10600</v>
      </c>
      <c r="G39" s="294">
        <f t="shared" ref="G39:G44" si="6">E39*F39</f>
        <v>6630.1448083226342</v>
      </c>
      <c r="H39" s="294">
        <f t="shared" si="4"/>
        <v>7600</v>
      </c>
      <c r="J39" s="297">
        <v>0</v>
      </c>
      <c r="M39" s="296">
        <f t="shared" ref="M39:M44" si="7">IF(J39=0,MIN(C21,E$22),J39)</f>
        <v>0.19</v>
      </c>
    </row>
    <row r="40" spans="1:19" ht="13.5" thickBot="1" x14ac:dyDescent="0.25">
      <c r="A40" s="68">
        <v>5</v>
      </c>
      <c r="B40" s="68">
        <f t="shared" si="0"/>
        <v>0.54</v>
      </c>
      <c r="C40" s="68">
        <f t="shared" si="1"/>
        <v>5.6</v>
      </c>
      <c r="D40" s="76">
        <f t="shared" si="2"/>
        <v>9.6428571428571447E-2</v>
      </c>
      <c r="E40" s="88">
        <f t="shared" si="5"/>
        <v>0.55963573560495627</v>
      </c>
      <c r="F40" s="286">
        <f t="shared" si="3"/>
        <v>13300</v>
      </c>
      <c r="G40" s="294">
        <f t="shared" si="6"/>
        <v>7443.1552835459188</v>
      </c>
      <c r="H40" s="294">
        <f t="shared" si="4"/>
        <v>8600</v>
      </c>
      <c r="J40" s="297">
        <v>0</v>
      </c>
      <c r="M40" s="296">
        <f t="shared" si="7"/>
        <v>0.54</v>
      </c>
    </row>
    <row r="41" spans="1:19" ht="13.5" thickBot="1" x14ac:dyDescent="0.25">
      <c r="A41" s="68">
        <v>10</v>
      </c>
      <c r="B41" s="68">
        <f t="shared" si="0"/>
        <v>0.94</v>
      </c>
      <c r="C41" s="68">
        <f t="shared" si="1"/>
        <v>6.6</v>
      </c>
      <c r="D41" s="76">
        <f t="shared" si="2"/>
        <v>0.14242424242424243</v>
      </c>
      <c r="E41" s="88">
        <f t="shared" si="5"/>
        <v>0.51027740512563657</v>
      </c>
      <c r="F41" s="286">
        <f t="shared" si="3"/>
        <v>15800</v>
      </c>
      <c r="G41" s="294">
        <f t="shared" si="6"/>
        <v>8062.3830009850581</v>
      </c>
      <c r="H41" s="294">
        <f t="shared" si="4"/>
        <v>9300</v>
      </c>
      <c r="J41" s="297">
        <v>0</v>
      </c>
      <c r="M41" s="296">
        <f t="shared" si="7"/>
        <v>0.94</v>
      </c>
    </row>
    <row r="42" spans="1:19" ht="13.5" thickBot="1" x14ac:dyDescent="0.25">
      <c r="A42" s="68">
        <v>25</v>
      </c>
      <c r="B42" s="68">
        <f t="shared" si="0"/>
        <v>1.7</v>
      </c>
      <c r="C42" s="68">
        <f t="shared" si="1"/>
        <v>8</v>
      </c>
      <c r="D42" s="76">
        <f t="shared" si="2"/>
        <v>0.21249999999999999</v>
      </c>
      <c r="E42" s="88">
        <f t="shared" si="5"/>
        <v>0.44546630468750004</v>
      </c>
      <c r="F42" s="286">
        <f t="shared" si="3"/>
        <v>19500</v>
      </c>
      <c r="G42" s="294">
        <f t="shared" si="6"/>
        <v>8686.5929414062502</v>
      </c>
      <c r="H42" s="294">
        <f t="shared" si="4"/>
        <v>10000</v>
      </c>
      <c r="J42" s="297">
        <v>0</v>
      </c>
      <c r="M42" s="296">
        <f t="shared" si="7"/>
        <v>1.7</v>
      </c>
    </row>
    <row r="43" spans="1:19" ht="13.5" thickBot="1" x14ac:dyDescent="0.25">
      <c r="A43" s="68">
        <v>50</v>
      </c>
      <c r="B43" s="68">
        <f t="shared" si="0"/>
        <v>2.2000000000000002</v>
      </c>
      <c r="C43" s="68">
        <f t="shared" si="1"/>
        <v>9.3000000000000007</v>
      </c>
      <c r="D43" s="76">
        <f t="shared" si="2"/>
        <v>0.23655913978494625</v>
      </c>
      <c r="E43" s="88">
        <f t="shared" si="5"/>
        <v>0.42585192768882479</v>
      </c>
      <c r="F43" s="286">
        <f t="shared" si="3"/>
        <v>22500</v>
      </c>
      <c r="G43" s="294">
        <f t="shared" si="6"/>
        <v>9581.668372998558</v>
      </c>
      <c r="H43" s="294">
        <f t="shared" si="4"/>
        <v>11000</v>
      </c>
      <c r="J43" s="297">
        <v>0</v>
      </c>
      <c r="M43" s="296">
        <f t="shared" si="7"/>
        <v>2.2000000000000002</v>
      </c>
    </row>
    <row r="44" spans="1:19" ht="13.5" thickBot="1" x14ac:dyDescent="0.25">
      <c r="A44" s="68">
        <v>100</v>
      </c>
      <c r="B44" s="68">
        <f t="shared" si="0"/>
        <v>2.2000000000000002</v>
      </c>
      <c r="C44" s="68">
        <f t="shared" si="1"/>
        <v>11</v>
      </c>
      <c r="D44" s="76">
        <f t="shared" si="2"/>
        <v>0.2</v>
      </c>
      <c r="E44" s="88">
        <f t="shared" si="5"/>
        <v>0.45616800000000007</v>
      </c>
      <c r="F44" s="286">
        <f t="shared" si="3"/>
        <v>25800</v>
      </c>
      <c r="G44" s="294">
        <f t="shared" si="6"/>
        <v>11769.134400000003</v>
      </c>
      <c r="H44" s="294">
        <f t="shared" si="4"/>
        <v>13500</v>
      </c>
      <c r="J44" s="297">
        <v>0</v>
      </c>
      <c r="M44" s="296">
        <f t="shared" si="7"/>
        <v>2.2000000000000002</v>
      </c>
    </row>
    <row r="45" spans="1:19" ht="13.5" thickBot="1" x14ac:dyDescent="0.25">
      <c r="A45" s="68"/>
      <c r="B45" s="68"/>
      <c r="C45" s="68"/>
      <c r="D45" s="76"/>
      <c r="E45" s="88"/>
      <c r="F45" s="286"/>
      <c r="G45" s="266" t="s">
        <v>205</v>
      </c>
      <c r="H45" s="298">
        <v>1.1499999999999999</v>
      </c>
      <c r="J45" s="299"/>
      <c r="S45" s="76"/>
    </row>
    <row r="46" spans="1:19" ht="15" x14ac:dyDescent="0.25">
      <c r="A46" s="49" t="s">
        <v>206</v>
      </c>
      <c r="B46" s="49"/>
      <c r="C46" s="49"/>
      <c r="D46" s="49"/>
      <c r="E46" s="49"/>
      <c r="F46" s="49"/>
      <c r="G46" s="49"/>
      <c r="H46" s="300"/>
      <c r="J46" s="299"/>
      <c r="S46" s="76"/>
    </row>
    <row r="47" spans="1:19" ht="15" x14ac:dyDescent="0.25">
      <c r="A47" s="28" t="s">
        <v>235</v>
      </c>
      <c r="B47" s="28"/>
      <c r="C47" s="28"/>
      <c r="D47" s="28"/>
      <c r="E47" s="28"/>
      <c r="F47" s="28"/>
      <c r="G47" s="28"/>
      <c r="H47" s="42" t="str">
        <f>'CL_1 - Project Review'!I57</f>
        <v>IDALS: Issue Date: 01/12/2023</v>
      </c>
      <c r="J47" s="299"/>
      <c r="S47" s="76"/>
    </row>
    <row r="48" spans="1:19" x14ac:dyDescent="0.2">
      <c r="B48" s="301"/>
    </row>
    <row r="50" spans="1:8" x14ac:dyDescent="0.2">
      <c r="A50" s="384" t="s">
        <v>208</v>
      </c>
      <c r="B50" s="384"/>
      <c r="C50" s="384"/>
      <c r="D50" s="384"/>
      <c r="E50" s="384"/>
      <c r="F50" s="384"/>
      <c r="G50" s="384"/>
      <c r="H50" s="384"/>
    </row>
    <row r="78" spans="1:1" x14ac:dyDescent="0.2">
      <c r="A78" s="302" t="s">
        <v>209</v>
      </c>
    </row>
    <row r="79" spans="1:1" x14ac:dyDescent="0.2">
      <c r="A79" s="302" t="s">
        <v>210</v>
      </c>
    </row>
  </sheetData>
  <sheetProtection algorithmName="SHA-512" hashValue="7rSM2i/HmFonHHLAAEX0juGxG9/4Oa90C0O08cmUS/bQY2/GIQjp31CF9iGytbrTKTwXpxgdJrQ++OQJ+RxMtw==" saltValue="ltn8xzvryESxdwBg+KJeVQ==" spinCount="100000" sheet="1" selectLockedCells="1"/>
  <mergeCells count="9">
    <mergeCell ref="A50:H50"/>
    <mergeCell ref="A1:H1"/>
    <mergeCell ref="A2:H2"/>
    <mergeCell ref="B4:E4"/>
    <mergeCell ref="G4:H4"/>
    <mergeCell ref="A15:H15"/>
    <mergeCell ref="C17:D17"/>
    <mergeCell ref="E17:F17"/>
    <mergeCell ref="G17:H17"/>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DISCLAIMER</vt:lpstr>
      <vt:lpstr>CL_1 - Project Review</vt:lpstr>
      <vt:lpstr>CL_1 - Project Review (2)</vt:lpstr>
      <vt:lpstr>DWS_Report Form</vt:lpstr>
      <vt:lpstr>Step 3_Diversion</vt:lpstr>
      <vt:lpstr>IWS_Worksheet</vt:lpstr>
      <vt:lpstr>DE_1 - Design Summary</vt:lpstr>
      <vt:lpstr>DE_2 - Det Wtrshed Info</vt:lpstr>
      <vt:lpstr>DE_3 - Det Hydrology</vt:lpstr>
      <vt:lpstr>DE_4 - Pre-treat</vt:lpstr>
      <vt:lpstr>DE_5 - Final Storage Volumes</vt:lpstr>
      <vt:lpstr>DE_6 - Results</vt:lpstr>
      <vt:lpstr>'CL_1 - Project Review'!Print_Area</vt:lpstr>
      <vt:lpstr>'CL_1 - Project Review (2)'!Print_Area</vt:lpstr>
      <vt:lpstr>'DE_1 - Design Summary'!Print_Area</vt:lpstr>
      <vt:lpstr>'DE_2 - Det Wtrshed Info'!Print_Area</vt:lpstr>
      <vt:lpstr>'DE_3 - Det Hydrology'!Print_Area</vt:lpstr>
      <vt:lpstr>'DE_4 - Pre-treat'!Print_Area</vt:lpstr>
      <vt:lpstr>'DE_5 - Final Storage Volumes'!Print_Area</vt:lpstr>
      <vt:lpstr>'DE_6 - Results'!Print_Area</vt:lpstr>
      <vt:lpstr>DISCLAIMER!Print_Area</vt:lpstr>
      <vt:lpstr>'DWS_Report Form'!Print_Area</vt:lpstr>
      <vt:lpstr>IWS_Worksheet!Print_Area</vt:lpstr>
      <vt:lpstr>'Step 3_Diversion'!Print_Area</vt:lpstr>
    </vt:vector>
  </TitlesOfParts>
  <Company>RDG IA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RDG</dc:creator>
  <cp:lastModifiedBy>Cswercko, Courtney [DNR]</cp:lastModifiedBy>
  <cp:lastPrinted>2023-01-12T18:28:52Z</cp:lastPrinted>
  <dcterms:created xsi:type="dcterms:W3CDTF">2014-12-12T17:27:40Z</dcterms:created>
  <dcterms:modified xsi:type="dcterms:W3CDTF">2024-12-18T18:13:37Z</dcterms:modified>
</cp:coreProperties>
</file>