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G:\My Drive\IAEAP\MSEI\Calculators\2022 Calculators\"/>
    </mc:Choice>
  </mc:AlternateContent>
  <xr:revisionPtr revIDLastSave="0" documentId="13_ncr:1_{ED34C2ED-EE97-4C5B-89DC-539154087FFF}" xr6:coauthVersionLast="36" xr6:coauthVersionMax="36" xr10:uidLastSave="{00000000-0000-0000-0000-000000000000}"/>
  <bookViews>
    <workbookView xWindow="0" yWindow="0" windowWidth="11970" windowHeight="6600" xr2:uid="{00000000-000D-0000-FFFF-FFFF00000000}"/>
  </bookViews>
  <sheets>
    <sheet name="Cutting" sheetId="1" r:id="rId1"/>
    <sheet name="Permit Limits" sheetId="5" state="hidden" r:id="rId2"/>
    <sheet name="INV-3" sheetId="3" state="hidden" r:id="rId3"/>
    <sheet name="Process Emissions" sheetId="4" r:id="rId4"/>
    <sheet name="Spec Gravity - Fume Generation" sheetId="2" r:id="rId5"/>
  </sheets>
  <definedNames>
    <definedName name="_xlnm.Print_Area" localSheetId="2">'INV-3'!$A$1:$J$46</definedName>
    <definedName name="_xlnm.Print_Area" localSheetId="3">'Process Emissions'!$A$3:$F$41</definedName>
  </definedNames>
  <calcPr calcId="191029"/>
</workbook>
</file>

<file path=xl/calcChain.xml><?xml version="1.0" encoding="utf-8"?>
<calcChain xmlns="http://schemas.openxmlformats.org/spreadsheetml/2006/main">
  <c r="B5" i="4" l="1"/>
  <c r="B39" i="1" l="1"/>
  <c r="B14" i="1"/>
  <c r="E16" i="4" l="1"/>
  <c r="E15" i="4"/>
  <c r="I11" i="3"/>
  <c r="I12" i="3"/>
  <c r="B49" i="1"/>
  <c r="B8" i="4" s="1"/>
  <c r="B22" i="1"/>
  <c r="J37" i="1"/>
  <c r="J38" i="1" s="1"/>
  <c r="D6" i="3"/>
  <c r="G11" i="3"/>
  <c r="G12" i="3"/>
  <c r="D5" i="3"/>
  <c r="B11" i="4"/>
  <c r="D3" i="3"/>
  <c r="B6" i="4"/>
  <c r="B38" i="1" l="1"/>
  <c r="B46" i="1" s="1"/>
  <c r="B13" i="1"/>
  <c r="B19" i="1" s="1"/>
  <c r="F25" i="1" l="1"/>
  <c r="B28" i="1" s="1"/>
  <c r="B25" i="1"/>
  <c r="B11" i="3"/>
  <c r="B12" i="3"/>
  <c r="B52" i="1"/>
  <c r="B55" i="1" s="1"/>
  <c r="C16" i="4"/>
  <c r="C15" i="4"/>
  <c r="F15" i="4" l="1"/>
  <c r="B15" i="4"/>
  <c r="D15" i="4"/>
  <c r="F16" i="4"/>
  <c r="D16" i="4"/>
  <c r="B16" i="4"/>
  <c r="C11" i="3"/>
  <c r="D11" i="3"/>
  <c r="F11" i="3"/>
  <c r="J11" i="3" s="1"/>
  <c r="F12" i="3"/>
  <c r="J12" i="3" s="1"/>
  <c r="C12" i="3"/>
  <c r="D12" i="3"/>
</calcChain>
</file>

<file path=xl/sharedStrings.xml><?xml version="1.0" encoding="utf-8"?>
<sst xmlns="http://schemas.openxmlformats.org/spreadsheetml/2006/main" count="176" uniqueCount="134">
  <si>
    <t>Note: Fabric Filter = 95%,</t>
  </si>
  <si>
    <t>% of particulate generated</t>
  </si>
  <si>
    <t>Emission Factor (lb/in)=  Metal Density (lb/in3) x Metal Thickness (in) x Average Kerf (in) x Fume Generation</t>
  </si>
  <si>
    <t xml:space="preserve">Emissions (lb/hr) = </t>
  </si>
  <si>
    <t>Emissions (lb/hr) = Metal Feed Rate (in/hr) x Emission Factor (lb/inch)</t>
  </si>
  <si>
    <t xml:space="preserve">Emissions (TPY)  = </t>
  </si>
  <si>
    <t>Fume Generation:</t>
  </si>
  <si>
    <t>Hours of Operation:</t>
  </si>
  <si>
    <t>hrs/yr</t>
  </si>
  <si>
    <t>inch</t>
  </si>
  <si>
    <t>inches/hr</t>
  </si>
  <si>
    <t>inches/min</t>
  </si>
  <si>
    <t>lb/in3</t>
  </si>
  <si>
    <t>lb/inch</t>
  </si>
  <si>
    <t>Metal Density:</t>
  </si>
  <si>
    <t xml:space="preserve">Metal Feed Rate (in/hr) = </t>
  </si>
  <si>
    <t>Metal Feed Rate (in/hr) = Metal Travel Speed (in/min) x Number of units x 60 min/hr</t>
  </si>
  <si>
    <t>Metal Thickness:</t>
  </si>
  <si>
    <t>Density Converter</t>
  </si>
  <si>
    <t>Spec.Grav.</t>
  </si>
  <si>
    <t xml:space="preserve">SCC: </t>
  </si>
  <si>
    <t>Lead</t>
  </si>
  <si>
    <t>Control Efficiency</t>
  </si>
  <si>
    <t>%</t>
  </si>
  <si>
    <t>Uncontrolled</t>
  </si>
  <si>
    <t>lb/hr</t>
  </si>
  <si>
    <t>Controlled</t>
  </si>
  <si>
    <t>Emissions (TPY)  = Emissions (lb/hr) x Hours of Operation (hr/yr) x Control Efficiency / 2000 lb/ton</t>
  </si>
  <si>
    <t>Facility Name:</t>
  </si>
  <si>
    <t xml:space="preserve">            Form INV-3 EMISSION UNIT DESCRIPTION - POTENTIAL EMISSIONS</t>
  </si>
  <si>
    <t>12)  Maximum Hourly Design Rate</t>
  </si>
  <si>
    <t>Per Hour</t>
  </si>
  <si>
    <t>POTENTIAL EMISSIONS</t>
  </si>
  <si>
    <t>Air Pollutant</t>
  </si>
  <si>
    <t>Emission Factor</t>
  </si>
  <si>
    <t>Emission Factor Units</t>
  </si>
  <si>
    <t>Source of Emission Factor</t>
  </si>
  <si>
    <t>Ash or Sulfur %</t>
  </si>
  <si>
    <t>Potential Hourly Uncontrolled Emissions (lb/hr)</t>
  </si>
  <si>
    <t>Combined Control Efficiency</t>
  </si>
  <si>
    <t>Transfer Efficiency</t>
  </si>
  <si>
    <t>Potential Hourly Controlled Emissions (lb/hr)</t>
  </si>
  <si>
    <t>Potential Annual Emission (ton/yr)</t>
  </si>
  <si>
    <t>PM-2.5</t>
  </si>
  <si>
    <t>PM-10</t>
  </si>
  <si>
    <t>SO2</t>
  </si>
  <si>
    <t>NOx</t>
  </si>
  <si>
    <t>VOC</t>
  </si>
  <si>
    <t>CO</t>
  </si>
  <si>
    <t>Ammonia</t>
  </si>
  <si>
    <t>POTENTIAL EMISSIONS - Individual HAPs and additional regulated air pollutants - list the name in Column 14</t>
  </si>
  <si>
    <t>Inches</t>
  </si>
  <si>
    <t>Total Metal Cut</t>
  </si>
  <si>
    <t>inches/yr</t>
  </si>
  <si>
    <t>inch/min</t>
  </si>
  <si>
    <t>Permit Limits</t>
  </si>
  <si>
    <t>Permit Number (s)</t>
  </si>
  <si>
    <r>
      <t xml:space="preserve">Emission Limits (found in the section titled Emission Limits) - </t>
    </r>
    <r>
      <rPr>
        <b/>
        <sz val="10"/>
        <color indexed="48"/>
        <rFont val="Arial"/>
        <family val="2"/>
      </rPr>
      <t>Leave Blank if Not Applicable</t>
    </r>
  </si>
  <si>
    <t>ton/yr</t>
  </si>
  <si>
    <t>Particulate Matter</t>
  </si>
  <si>
    <t>PM10</t>
  </si>
  <si>
    <t>Sulfur Dioxides (SO2)</t>
  </si>
  <si>
    <t>Nitrogen Oxides (NOx)</t>
  </si>
  <si>
    <t>Volatile Organic Compounds (VOC)</t>
  </si>
  <si>
    <t>Carbon Monoxide (CO)</t>
  </si>
  <si>
    <t>Lead (Pb)</t>
  </si>
  <si>
    <t>Single Hazardous Air Pollutant (HAP)</t>
  </si>
  <si>
    <t>Total Hazardous Air Pollutant (HAP)</t>
  </si>
  <si>
    <r>
      <t xml:space="preserve">Operating Limits (found in the section titled Operating Limits) - </t>
    </r>
    <r>
      <rPr>
        <b/>
        <sz val="10"/>
        <color indexed="48"/>
        <rFont val="Arial"/>
        <family val="2"/>
      </rPr>
      <t>Leave Blank if Not Applicable</t>
    </r>
  </si>
  <si>
    <t>Hours of Operation Limit</t>
  </si>
  <si>
    <t>Hours/Yr</t>
  </si>
  <si>
    <t>Note: If you have an hrs/day limit multipy by 365 to get hrs/yr</t>
  </si>
  <si>
    <t xml:space="preserve">lb/hr </t>
  </si>
  <si>
    <t>tons/yr</t>
  </si>
  <si>
    <t>POTENTIAL EMISSIONS - PM2.5 / PM10</t>
  </si>
  <si>
    <t>Metal</t>
  </si>
  <si>
    <t>Inches/Yr</t>
  </si>
  <si>
    <t xml:space="preserve"> </t>
  </si>
  <si>
    <t>4)    SCC Number</t>
  </si>
  <si>
    <t>Plasma Arc/Laser Cutting</t>
  </si>
  <si>
    <t>Plasma / Laser Cutting</t>
  </si>
  <si>
    <t>Inches/Min</t>
  </si>
  <si>
    <t>Maximum Usage Rate</t>
  </si>
  <si>
    <t>Emission Factor (lb/in)  =</t>
  </si>
  <si>
    <t>Yearly Usage Limit</t>
  </si>
  <si>
    <t>Kerf:</t>
  </si>
  <si>
    <t>Metal Cutting Speed:</t>
  </si>
  <si>
    <t>Note: used as the Maximium Desing Rate in INV-3</t>
  </si>
  <si>
    <t>Emission Factor Equation from the Swedish Institute of Production Engineering Research (http://www.epa.gov/ttnchie1/efdocs/welding.pdf)</t>
  </si>
  <si>
    <t xml:space="preserve">Control Efficiency </t>
  </si>
  <si>
    <t>Type of Metal</t>
  </si>
  <si>
    <t xml:space="preserve">Note:  When a range was listed for the density the highest number in the range was used. </t>
  </si>
  <si>
    <t>Dry</t>
  </si>
  <si>
    <t>Semidry</t>
  </si>
  <si>
    <t>Wet</t>
  </si>
  <si>
    <t>Note: Semidry = water about 50 mm under plate, Wet = burner 70mm below water surface</t>
  </si>
  <si>
    <t>Aluminum</t>
  </si>
  <si>
    <t>Brass</t>
  </si>
  <si>
    <t>Steel</t>
  </si>
  <si>
    <t>9)    Raw Material</t>
  </si>
  <si>
    <t>Note: Kerf = width of the cut</t>
  </si>
  <si>
    <t>If unknown leave blank and enter hours of operation for the calendar year</t>
  </si>
  <si>
    <t>Stainless Steel, 8mm</t>
  </si>
  <si>
    <t>Stainless Steel, 35mm</t>
  </si>
  <si>
    <t>Cutting Technique:</t>
  </si>
  <si>
    <t>Enter hours of operation for the calendar year only if inches/yr is unknown</t>
  </si>
  <si>
    <t>Specific Gravity/Fume Generation Table</t>
  </si>
  <si>
    <t xml:space="preserve">  =    lb/in3</t>
  </si>
  <si>
    <t>Specific Gravity</t>
  </si>
  <si>
    <t>5)    Description of Process</t>
  </si>
  <si>
    <t xml:space="preserve">Please fill in the yellow boxes.  Once complete, click to the Process Emissions tab below. </t>
  </si>
  <si>
    <t>Last Updated 11-3-22</t>
  </si>
  <si>
    <t>Emission Unit Identifier:</t>
  </si>
  <si>
    <t>Emission Year:</t>
  </si>
  <si>
    <t>Required Process Information:</t>
  </si>
  <si>
    <t>Process Emissions</t>
  </si>
  <si>
    <t>Information on this page should be referenced as you enter data into the Process Emissions section of SLEIS.</t>
  </si>
  <si>
    <t>SLEIS PROCESS TAB</t>
  </si>
  <si>
    <t>Emission Unit Identifier</t>
  </si>
  <si>
    <t>SCC Number</t>
  </si>
  <si>
    <t>Description of Process</t>
  </si>
  <si>
    <t>Actual Throughput - Annual Total</t>
  </si>
  <si>
    <t>Throughput Material</t>
  </si>
  <si>
    <t>Throughput Unit of Measure</t>
  </si>
  <si>
    <t>Throughput Type</t>
  </si>
  <si>
    <t>Input</t>
  </si>
  <si>
    <t>SLEIS EMISSIONS TAB</t>
  </si>
  <si>
    <t>Pollutant Code:</t>
  </si>
  <si>
    <t>Calculation Method</t>
  </si>
  <si>
    <t>Emission Factor (lbs/unit)</t>
  </si>
  <si>
    <t>Overall Control Efficiency (%)</t>
  </si>
  <si>
    <t>Estimated Emissions (Tons/Yr)</t>
  </si>
  <si>
    <t>PM25-PRI-PM2.5 Primary (Filt + Cond)</t>
  </si>
  <si>
    <t>PM10-PRI-PM10 Primary (Filt + Cond)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</si>
</sst>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00"/>
    <numFmt numFmtId="167" formatCode="0.000000"/>
  </numFmts>
  <fonts count="37" x14ac:knownFonts="1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</font>
    <font>
      <b/>
      <sz val="8"/>
      <name val="Arial"/>
      <family val="2"/>
    </font>
    <font>
      <sz val="8"/>
      <name val="Arial"/>
    </font>
    <font>
      <sz val="10"/>
      <name val="Arial"/>
      <family val="2"/>
    </font>
    <font>
      <sz val="10"/>
      <name val="Arial"/>
    </font>
    <font>
      <i/>
      <sz val="10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</font>
    <font>
      <i/>
      <sz val="8"/>
      <name val="Arial"/>
      <family val="2"/>
    </font>
    <font>
      <sz val="16"/>
      <name val="Arial"/>
    </font>
    <font>
      <sz val="16"/>
      <name val="Arial"/>
      <family val="2"/>
    </font>
    <font>
      <sz val="12"/>
      <name val="Arial"/>
    </font>
    <font>
      <sz val="12"/>
      <name val="Arial"/>
      <family val="2"/>
    </font>
    <font>
      <sz val="10"/>
      <name val="Arial"/>
    </font>
    <font>
      <sz val="12"/>
      <color indexed="8"/>
      <name val="Times New Roman"/>
      <family val="1"/>
    </font>
    <font>
      <sz val="12"/>
      <color indexed="10"/>
      <name val="Arial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</font>
    <font>
      <sz val="8"/>
      <color indexed="12"/>
      <name val="Arial"/>
    </font>
    <font>
      <sz val="10"/>
      <color indexed="8"/>
      <name val="Times New Roman"/>
      <family val="1"/>
    </font>
    <font>
      <i/>
      <sz val="8"/>
      <color rgb="FFFF0000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3" fontId="15" fillId="0" borderId="0"/>
    <xf numFmtId="5" fontId="15" fillId="0" borderId="0"/>
    <xf numFmtId="14" fontId="15" fillId="0" borderId="0"/>
    <xf numFmtId="2" fontId="15" fillId="0" borderId="0"/>
    <xf numFmtId="0" fontId="1" fillId="0" borderId="0"/>
    <xf numFmtId="0" fontId="2" fillId="0" borderId="0"/>
    <xf numFmtId="0" fontId="15" fillId="0" borderId="1"/>
  </cellStyleXfs>
  <cellXfs count="149">
    <xf numFmtId="0" fontId="0" fillId="0" borderId="0" xfId="0"/>
    <xf numFmtId="0" fontId="0" fillId="0" borderId="0" xfId="0" applyBorder="1"/>
    <xf numFmtId="0" fontId="8" fillId="0" borderId="0" xfId="0" applyFont="1"/>
    <xf numFmtId="0" fontId="5" fillId="0" borderId="2" xfId="0" applyFont="1" applyBorder="1" applyAlignment="1"/>
    <xf numFmtId="0" fontId="0" fillId="0" borderId="2" xfId="0" applyBorder="1" applyAlignment="1"/>
    <xf numFmtId="0" fontId="10" fillId="0" borderId="3" xfId="0" applyFont="1" applyBorder="1" applyAlignment="1"/>
    <xf numFmtId="2" fontId="11" fillId="0" borderId="3" xfId="0" applyNumberFormat="1" applyFont="1" applyBorder="1" applyAlignment="1">
      <alignment horizontal="center"/>
    </xf>
    <xf numFmtId="0" fontId="0" fillId="0" borderId="3" xfId="0" applyBorder="1" applyAlignment="1"/>
    <xf numFmtId="0" fontId="10" fillId="0" borderId="3" xfId="0" applyFont="1" applyBorder="1" applyAlignment="1">
      <alignment horizontal="left"/>
    </xf>
    <xf numFmtId="0" fontId="11" fillId="0" borderId="3" xfId="0" applyFont="1" applyBorder="1" applyAlignment="1"/>
    <xf numFmtId="0" fontId="0" fillId="0" borderId="4" xfId="0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4" xfId="0" applyBorder="1"/>
    <xf numFmtId="2" fontId="0" fillId="0" borderId="4" xfId="0" applyNumberFormat="1" applyFill="1" applyBorder="1"/>
    <xf numFmtId="0" fontId="0" fillId="2" borderId="4" xfId="0" applyFill="1" applyBorder="1"/>
    <xf numFmtId="0" fontId="10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9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5" fillId="0" borderId="0" xfId="0" applyFont="1" applyProtection="1"/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2" borderId="4" xfId="0" applyFill="1" applyBorder="1" applyProtection="1"/>
    <xf numFmtId="0" fontId="18" fillId="0" borderId="0" xfId="0" applyFont="1" applyProtection="1"/>
    <xf numFmtId="0" fontId="24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Border="1"/>
    <xf numFmtId="0" fontId="23" fillId="0" borderId="4" xfId="0" applyFont="1" applyBorder="1" applyAlignment="1">
      <alignment horizontal="center"/>
    </xf>
    <xf numFmtId="0" fontId="14" fillId="0" borderId="4" xfId="0" applyFont="1" applyBorder="1" applyProtection="1"/>
    <xf numFmtId="0" fontId="0" fillId="0" borderId="0" xfId="0" applyBorder="1" applyAlignment="1">
      <alignment horizontal="left"/>
    </xf>
    <xf numFmtId="0" fontId="5" fillId="0" borderId="0" xfId="0" applyFont="1"/>
    <xf numFmtId="0" fontId="29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29" fillId="0" borderId="4" xfId="0" applyFont="1" applyBorder="1"/>
    <xf numFmtId="164" fontId="29" fillId="0" borderId="4" xfId="0" applyNumberFormat="1" applyFont="1" applyBorder="1"/>
    <xf numFmtId="2" fontId="29" fillId="0" borderId="4" xfId="0" applyNumberFormat="1" applyFont="1" applyFill="1" applyBorder="1"/>
    <xf numFmtId="0" fontId="30" fillId="0" borderId="4" xfId="0" applyFont="1" applyBorder="1" applyAlignment="1">
      <alignment horizontal="center" wrapText="1"/>
    </xf>
    <xf numFmtId="0" fontId="0" fillId="0" borderId="0" xfId="0" applyBorder="1" applyAlignment="1"/>
    <xf numFmtId="0" fontId="27" fillId="0" borderId="0" xfId="0" applyFont="1" applyBorder="1" applyAlignment="1">
      <alignment horizontal="left"/>
    </xf>
    <xf numFmtId="2" fontId="0" fillId="3" borderId="4" xfId="0" applyNumberFormat="1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29" fillId="0" borderId="4" xfId="0" applyNumberFormat="1" applyFont="1" applyBorder="1"/>
    <xf numFmtId="0" fontId="7" fillId="0" borderId="0" xfId="0" applyFont="1"/>
    <xf numFmtId="0" fontId="14" fillId="3" borderId="5" xfId="0" applyFont="1" applyFill="1" applyBorder="1" applyProtection="1"/>
    <xf numFmtId="0" fontId="14" fillId="0" borderId="0" xfId="0" applyFont="1" applyFill="1" applyBorder="1" applyProtection="1"/>
    <xf numFmtId="0" fontId="0" fillId="0" borderId="7" xfId="0" applyFill="1" applyBorder="1" applyProtection="1"/>
    <xf numFmtId="0" fontId="20" fillId="0" borderId="0" xfId="0" applyFont="1" applyProtection="1"/>
    <xf numFmtId="0" fontId="20" fillId="0" borderId="0" xfId="0" applyFont="1" applyBorder="1" applyProtection="1"/>
    <xf numFmtId="0" fontId="0" fillId="0" borderId="0" xfId="0" applyBorder="1" applyProtection="1"/>
    <xf numFmtId="0" fontId="22" fillId="0" borderId="0" xfId="0" applyFont="1" applyProtection="1"/>
    <xf numFmtId="0" fontId="4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2" fillId="0" borderId="0" xfId="0" applyFont="1" applyProtection="1"/>
    <xf numFmtId="0" fontId="7" fillId="0" borderId="8" xfId="0" applyFont="1" applyBorder="1" applyProtection="1"/>
    <xf numFmtId="0" fontId="0" fillId="0" borderId="6" xfId="0" applyBorder="1" applyProtection="1"/>
    <xf numFmtId="0" fontId="0" fillId="0" borderId="5" xfId="0" applyBorder="1" applyProtection="1"/>
    <xf numFmtId="0" fontId="5" fillId="0" borderId="9" xfId="0" applyFont="1" applyBorder="1" applyAlignment="1" applyProtection="1">
      <alignment horizontal="center"/>
    </xf>
    <xf numFmtId="0" fontId="19" fillId="0" borderId="0" xfId="0" applyFont="1" applyProtection="1"/>
    <xf numFmtId="0" fontId="16" fillId="0" borderId="0" xfId="0" applyFont="1" applyProtection="1"/>
    <xf numFmtId="2" fontId="3" fillId="0" borderId="5" xfId="0" applyNumberFormat="1" applyFont="1" applyBorder="1" applyProtection="1"/>
    <xf numFmtId="0" fontId="3" fillId="0" borderId="9" xfId="0" applyFont="1" applyBorder="1" applyProtection="1"/>
    <xf numFmtId="0" fontId="5" fillId="0" borderId="5" xfId="0" applyFont="1" applyBorder="1" applyProtection="1"/>
    <xf numFmtId="0" fontId="5" fillId="0" borderId="9" xfId="0" applyFont="1" applyBorder="1" applyProtection="1"/>
    <xf numFmtId="2" fontId="3" fillId="0" borderId="0" xfId="0" applyNumberFormat="1" applyFont="1" applyProtection="1"/>
    <xf numFmtId="0" fontId="3" fillId="0" borderId="0" xfId="0" applyFont="1" applyProtection="1"/>
    <xf numFmtId="0" fontId="15" fillId="0" borderId="0" xfId="0" applyFont="1" applyBorder="1" applyProtection="1"/>
    <xf numFmtId="0" fontId="14" fillId="0" borderId="4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  <protection locked="0"/>
    </xf>
    <xf numFmtId="0" fontId="29" fillId="3" borderId="4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/>
    <xf numFmtId="0" fontId="25" fillId="0" borderId="4" xfId="0" applyFont="1" applyFill="1" applyBorder="1" applyAlignment="1">
      <alignment wrapText="1"/>
    </xf>
    <xf numFmtId="0" fontId="25" fillId="0" borderId="4" xfId="0" applyFont="1" applyFill="1" applyBorder="1" applyAlignment="1">
      <alignment horizontal="center" wrapText="1"/>
    </xf>
    <xf numFmtId="0" fontId="22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wrapText="1"/>
    </xf>
    <xf numFmtId="3" fontId="29" fillId="3" borderId="4" xfId="0" applyNumberFormat="1" applyFont="1" applyFill="1" applyBorder="1" applyAlignment="1" applyProtection="1">
      <alignment horizontal="center"/>
      <protection locked="0"/>
    </xf>
    <xf numFmtId="0" fontId="23" fillId="0" borderId="4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31" fillId="0" borderId="4" xfId="0" applyFont="1" applyFill="1" applyBorder="1" applyAlignment="1">
      <alignment wrapText="1"/>
    </xf>
    <xf numFmtId="0" fontId="14" fillId="0" borderId="4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right"/>
    </xf>
    <xf numFmtId="0" fontId="5" fillId="0" borderId="0" xfId="0" applyFont="1" applyBorder="1"/>
    <xf numFmtId="0" fontId="32" fillId="0" borderId="0" xfId="0" applyFont="1" applyProtection="1"/>
    <xf numFmtId="0" fontId="21" fillId="0" borderId="0" xfId="0" applyFont="1" applyAlignment="1" applyProtection="1">
      <alignment horizontal="left"/>
    </xf>
    <xf numFmtId="0" fontId="26" fillId="3" borderId="5" xfId="0" applyFont="1" applyFill="1" applyBorder="1" applyAlignment="1" applyProtection="1">
      <protection locked="0"/>
    </xf>
    <xf numFmtId="0" fontId="22" fillId="3" borderId="3" xfId="0" applyFont="1" applyFill="1" applyBorder="1" applyAlignment="1" applyProtection="1">
      <protection locked="0"/>
    </xf>
    <xf numFmtId="0" fontId="28" fillId="0" borderId="0" xfId="0" applyFont="1" applyBorder="1" applyAlignment="1"/>
    <xf numFmtId="3" fontId="28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0" fontId="0" fillId="3" borderId="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5" fillId="0" borderId="5" xfId="0" applyFont="1" applyBorder="1" applyAlignment="1"/>
    <xf numFmtId="0" fontId="0" fillId="0" borderId="3" xfId="0" applyBorder="1" applyAlignment="1"/>
    <xf numFmtId="0" fontId="0" fillId="0" borderId="9" xfId="0" applyBorder="1" applyAlignment="1"/>
    <xf numFmtId="0" fontId="10" fillId="0" borderId="8" xfId="0" applyFont="1" applyBorder="1" applyAlignment="1"/>
    <xf numFmtId="0" fontId="10" fillId="0" borderId="7" xfId="0" applyFont="1" applyBorder="1" applyAlignment="1"/>
    <xf numFmtId="0" fontId="10" fillId="0" borderId="6" xfId="0" applyFont="1" applyBorder="1" applyAlignment="1"/>
    <xf numFmtId="2" fontId="27" fillId="0" borderId="4" xfId="0" applyNumberFormat="1" applyFont="1" applyBorder="1" applyAlignment="1">
      <alignment horizontal="center"/>
    </xf>
    <xf numFmtId="0" fontId="28" fillId="0" borderId="4" xfId="0" applyFont="1" applyBorder="1" applyAlignment="1"/>
    <xf numFmtId="0" fontId="27" fillId="0" borderId="5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9" xfId="0" applyFont="1" applyBorder="1" applyAlignment="1">
      <alignment horizontal="left"/>
    </xf>
    <xf numFmtId="0" fontId="10" fillId="0" borderId="5" xfId="0" applyFont="1" applyBorder="1" applyAlignment="1"/>
    <xf numFmtId="0" fontId="10" fillId="0" borderId="3" xfId="0" applyFont="1" applyBorder="1" applyAlignment="1"/>
    <xf numFmtId="0" fontId="27" fillId="0" borderId="5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5" xfId="0" applyFont="1" applyBorder="1" applyAlignment="1"/>
    <xf numFmtId="0" fontId="11" fillId="0" borderId="9" xfId="0" applyFont="1" applyBorder="1" applyAlignment="1"/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/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/>
    <xf numFmtId="0" fontId="0" fillId="0" borderId="4" xfId="0" applyBorder="1" applyAlignment="1"/>
    <xf numFmtId="0" fontId="0" fillId="3" borderId="9" xfId="0" applyFill="1" applyBorder="1" applyProtection="1"/>
    <xf numFmtId="0" fontId="14" fillId="3" borderId="4" xfId="0" applyFont="1" applyFill="1" applyBorder="1" applyProtection="1"/>
    <xf numFmtId="0" fontId="22" fillId="0" borderId="10" xfId="0" applyFont="1" applyFill="1" applyBorder="1" applyAlignment="1" applyProtection="1">
      <protection locked="0"/>
    </xf>
    <xf numFmtId="0" fontId="26" fillId="3" borderId="4" xfId="0" applyFont="1" applyFill="1" applyBorder="1" applyAlignment="1" applyProtection="1">
      <protection locked="0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Border="1" applyAlignment="1" applyProtection="1"/>
    <xf numFmtId="0" fontId="33" fillId="0" borderId="0" xfId="0" applyFont="1" applyBorder="1" applyAlignment="1" applyProtection="1"/>
    <xf numFmtId="0" fontId="33" fillId="0" borderId="0" xfId="0" applyFont="1" applyProtection="1"/>
    <xf numFmtId="0" fontId="14" fillId="3" borderId="9" xfId="0" applyFont="1" applyFill="1" applyBorder="1" applyAlignment="1" applyProtection="1">
      <alignment horizontal="left"/>
    </xf>
    <xf numFmtId="0" fontId="34" fillId="4" borderId="0" xfId="0" applyFont="1" applyFill="1" applyBorder="1" applyAlignment="1" applyProtection="1">
      <alignment horizontal="left"/>
    </xf>
    <xf numFmtId="0" fontId="27" fillId="0" borderId="0" xfId="0" applyFont="1" applyBorder="1" applyAlignment="1"/>
    <xf numFmtId="0" fontId="10" fillId="0" borderId="0" xfId="0" applyFont="1" applyBorder="1" applyAlignment="1"/>
    <xf numFmtId="0" fontId="35" fillId="0" borderId="4" xfId="0" applyFont="1" applyFill="1" applyBorder="1" applyAlignment="1" applyProtection="1">
      <alignment horizontal="left"/>
    </xf>
    <xf numFmtId="0" fontId="35" fillId="0" borderId="0" xfId="0" applyFont="1" applyBorder="1" applyAlignment="1" applyProtection="1"/>
    <xf numFmtId="0" fontId="35" fillId="0" borderId="4" xfId="0" applyFont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wrapText="1"/>
    </xf>
    <xf numFmtId="0" fontId="14" fillId="0" borderId="0" xfId="0" applyFont="1" applyFill="1" applyBorder="1" applyAlignment="1" applyProtection="1">
      <alignment horizontal="left"/>
    </xf>
    <xf numFmtId="0" fontId="14" fillId="3" borderId="4" xfId="0" applyFont="1" applyFill="1" applyBorder="1" applyAlignment="1" applyProtection="1">
      <alignment horizontal="left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7" fontId="6" fillId="0" borderId="4" xfId="0" applyNumberFormat="1" applyFont="1" applyBorder="1" applyAlignment="1">
      <alignment horizontal="center"/>
    </xf>
    <xf numFmtId="0" fontId="36" fillId="0" borderId="4" xfId="0" applyFont="1" applyBorder="1" applyAlignment="1">
      <alignment horizontal="left"/>
    </xf>
    <xf numFmtId="0" fontId="22" fillId="3" borderId="3" xfId="0" applyFont="1" applyFill="1" applyBorder="1" applyAlignment="1" applyProtection="1"/>
    <xf numFmtId="0" fontId="22" fillId="3" borderId="9" xfId="0" applyFont="1" applyFill="1" applyBorder="1" applyAlignment="1" applyProtection="1"/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workbookViewId="0"/>
  </sheetViews>
  <sheetFormatPr defaultRowHeight="12.75" x14ac:dyDescent="0.2"/>
  <cols>
    <col min="1" max="1" width="27.140625" style="22" customWidth="1"/>
    <col min="2" max="2" width="12" style="22" customWidth="1"/>
    <col min="3" max="3" width="9.5703125" style="22" customWidth="1"/>
    <col min="4" max="4" width="10.5703125" style="22" bestFit="1" customWidth="1"/>
    <col min="5" max="6" width="9.140625" style="22"/>
    <col min="7" max="7" width="10.5703125" style="22" customWidth="1"/>
    <col min="8" max="8" width="11.5703125" style="22" customWidth="1"/>
    <col min="9" max="9" width="12.5703125" style="22" customWidth="1"/>
    <col min="10" max="10" width="23" style="22" customWidth="1"/>
    <col min="11" max="11" width="9.140625" style="22"/>
    <col min="12" max="12" width="11.7109375" style="22" customWidth="1"/>
    <col min="13" max="13" width="20.28515625" style="22" hidden="1" customWidth="1"/>
    <col min="14" max="14" width="2.5703125" style="22" hidden="1" customWidth="1"/>
    <col min="15" max="16384" width="9.140625" style="22"/>
  </cols>
  <sheetData>
    <row r="1" spans="1:14" ht="20.25" x14ac:dyDescent="0.3">
      <c r="A1" s="88" t="s">
        <v>79</v>
      </c>
      <c r="B1" s="51"/>
      <c r="C1" s="51"/>
      <c r="D1" s="51"/>
      <c r="I1" s="87" t="s">
        <v>111</v>
      </c>
    </row>
    <row r="2" spans="1:14" ht="15.75" customHeight="1" x14ac:dyDescent="0.2">
      <c r="A2" s="48" t="s">
        <v>110</v>
      </c>
      <c r="B2" s="122"/>
      <c r="C2" s="48"/>
      <c r="D2" s="48"/>
      <c r="E2" s="48"/>
      <c r="F2" s="48"/>
      <c r="G2" s="123"/>
    </row>
    <row r="3" spans="1:14" ht="14.25" customHeight="1" x14ac:dyDescent="0.3">
      <c r="A3" s="49"/>
      <c r="B3" s="50"/>
      <c r="C3" s="52"/>
      <c r="D3" s="52"/>
      <c r="E3" s="53"/>
      <c r="F3" s="53"/>
      <c r="G3" s="53"/>
      <c r="H3" s="53"/>
    </row>
    <row r="4" spans="1:14" s="54" customFormat="1" ht="15.75" x14ac:dyDescent="0.25">
      <c r="A4" s="126" t="s">
        <v>28</v>
      </c>
      <c r="B4" s="89"/>
      <c r="C4" s="90"/>
      <c r="D4" s="90"/>
      <c r="E4" s="90"/>
      <c r="F4" s="90"/>
      <c r="G4" s="124"/>
      <c r="I4" s="128" t="s">
        <v>113</v>
      </c>
      <c r="J4" s="125"/>
    </row>
    <row r="5" spans="1:14" s="54" customFormat="1" ht="15.75" x14ac:dyDescent="0.25">
      <c r="A5" s="127" t="s">
        <v>112</v>
      </c>
      <c r="B5" s="89"/>
      <c r="C5" s="147"/>
      <c r="D5" s="147"/>
      <c r="E5" s="148"/>
      <c r="F5" s="77"/>
      <c r="G5" s="77"/>
      <c r="H5" s="77"/>
    </row>
    <row r="6" spans="1:14" ht="20.25" hidden="1" x14ac:dyDescent="0.3">
      <c r="A6" s="21" t="s">
        <v>74</v>
      </c>
      <c r="E6" s="51"/>
      <c r="F6" s="51"/>
    </row>
    <row r="7" spans="1:14" hidden="1" x14ac:dyDescent="0.2">
      <c r="A7" s="22" t="s">
        <v>88</v>
      </c>
      <c r="B7" s="55"/>
      <c r="C7" s="56"/>
      <c r="D7" s="56"/>
      <c r="E7" s="56"/>
      <c r="M7" s="53"/>
    </row>
    <row r="8" spans="1:14" hidden="1" x14ac:dyDescent="0.2">
      <c r="A8" s="53"/>
      <c r="B8" s="55"/>
      <c r="C8" s="56"/>
      <c r="D8" s="56"/>
      <c r="E8" s="56"/>
      <c r="M8" s="53"/>
    </row>
    <row r="9" spans="1:14" hidden="1" x14ac:dyDescent="0.2">
      <c r="A9" s="26" t="s">
        <v>104</v>
      </c>
      <c r="B9" s="72"/>
      <c r="C9" s="74" t="s">
        <v>95</v>
      </c>
      <c r="E9" s="56"/>
      <c r="F9" s="53"/>
      <c r="M9" s="53"/>
    </row>
    <row r="10" spans="1:14" ht="14.25" hidden="1" customHeight="1" x14ac:dyDescent="0.2">
      <c r="A10" s="26" t="s">
        <v>17</v>
      </c>
      <c r="B10" s="72"/>
      <c r="C10" s="53" t="s">
        <v>9</v>
      </c>
      <c r="D10" s="53"/>
      <c r="E10" s="53"/>
      <c r="F10" s="53"/>
      <c r="L10" s="53"/>
      <c r="M10" s="82" t="s">
        <v>96</v>
      </c>
      <c r="N10" s="70" t="s">
        <v>92</v>
      </c>
    </row>
    <row r="11" spans="1:14" ht="14.25" hidden="1" customHeight="1" x14ac:dyDescent="0.2">
      <c r="A11" s="26" t="s">
        <v>85</v>
      </c>
      <c r="B11" s="72"/>
      <c r="C11" s="53" t="s">
        <v>9</v>
      </c>
      <c r="D11" s="63" t="s">
        <v>100</v>
      </c>
      <c r="F11" s="53"/>
      <c r="H11" s="53"/>
      <c r="K11" s="53"/>
      <c r="L11" s="53"/>
      <c r="M11" s="82" t="s">
        <v>97</v>
      </c>
      <c r="N11" s="70" t="s">
        <v>93</v>
      </c>
    </row>
    <row r="12" spans="1:14" ht="14.25" hidden="1" customHeight="1" x14ac:dyDescent="0.2">
      <c r="A12" s="26" t="s">
        <v>86</v>
      </c>
      <c r="B12" s="72"/>
      <c r="C12" s="53" t="s">
        <v>54</v>
      </c>
      <c r="D12" s="63" t="s">
        <v>87</v>
      </c>
      <c r="F12" s="53"/>
      <c r="L12" s="53"/>
      <c r="M12" s="82" t="s">
        <v>103</v>
      </c>
      <c r="N12" s="70" t="s">
        <v>94</v>
      </c>
    </row>
    <row r="13" spans="1:14" ht="13.5" hidden="1" customHeight="1" x14ac:dyDescent="0.2">
      <c r="A13" s="26" t="s">
        <v>14</v>
      </c>
      <c r="B13" s="83" t="e">
        <f>J38</f>
        <v>#N/A</v>
      </c>
      <c r="C13" s="53" t="s">
        <v>12</v>
      </c>
      <c r="L13" s="53"/>
      <c r="M13" s="82" t="s">
        <v>102</v>
      </c>
      <c r="N13" s="53"/>
    </row>
    <row r="14" spans="1:14" ht="14.25" hidden="1" customHeight="1" x14ac:dyDescent="0.2">
      <c r="A14" s="26" t="s">
        <v>6</v>
      </c>
      <c r="B14" s="83" t="e">
        <f>VLOOKUP(J36,'Spec Gravity - Fume Generation'!A5:D10,MATCH(Cutting!B9,'Spec Gravity - Fume Generation'!A5:D5,0),FALSE)</f>
        <v>#N/A</v>
      </c>
      <c r="C14" s="53" t="s">
        <v>1</v>
      </c>
      <c r="G14" s="62"/>
      <c r="L14" s="53"/>
      <c r="M14" s="82" t="s">
        <v>98</v>
      </c>
      <c r="N14" s="53"/>
    </row>
    <row r="15" spans="1:14" ht="13.5" hidden="1" customHeight="1" x14ac:dyDescent="0.2">
      <c r="A15" s="26" t="s">
        <v>7</v>
      </c>
      <c r="B15" s="71">
        <v>8760</v>
      </c>
      <c r="C15" s="53" t="s">
        <v>8</v>
      </c>
      <c r="I15"/>
      <c r="L15" s="53"/>
      <c r="M15" s="78"/>
      <c r="N15" s="53"/>
    </row>
    <row r="16" spans="1:14" hidden="1" x14ac:dyDescent="0.2">
      <c r="A16" s="26" t="s">
        <v>22</v>
      </c>
      <c r="B16" s="72"/>
      <c r="C16" s="53" t="s">
        <v>23</v>
      </c>
      <c r="D16" s="63" t="s">
        <v>0</v>
      </c>
      <c r="I16"/>
      <c r="M16" s="53"/>
    </row>
    <row r="17" spans="1:10" hidden="1" x14ac:dyDescent="0.2">
      <c r="A17" s="53"/>
      <c r="B17" s="53"/>
    </row>
    <row r="18" spans="1:10" hidden="1" x14ac:dyDescent="0.2">
      <c r="A18" s="22" t="s">
        <v>2</v>
      </c>
    </row>
    <row r="19" spans="1:10" hidden="1" x14ac:dyDescent="0.2">
      <c r="A19" s="22" t="s">
        <v>83</v>
      </c>
      <c r="B19" s="66" t="e">
        <f>$B$13*$B$10*$B$11*($B$14/100)</f>
        <v>#N/A</v>
      </c>
      <c r="C19" s="67" t="s">
        <v>13</v>
      </c>
    </row>
    <row r="20" spans="1:10" hidden="1" x14ac:dyDescent="0.2">
      <c r="E20" s="53"/>
    </row>
    <row r="21" spans="1:10" hidden="1" x14ac:dyDescent="0.2">
      <c r="A21" s="22" t="s">
        <v>16</v>
      </c>
    </row>
    <row r="22" spans="1:10" hidden="1" x14ac:dyDescent="0.2">
      <c r="A22" s="22" t="s">
        <v>15</v>
      </c>
      <c r="B22" s="85">
        <f>B12*60</f>
        <v>0</v>
      </c>
      <c r="C22" s="67" t="s">
        <v>10</v>
      </c>
      <c r="D22" s="24"/>
    </row>
    <row r="23" spans="1:10" hidden="1" x14ac:dyDescent="0.2"/>
    <row r="24" spans="1:10" hidden="1" x14ac:dyDescent="0.2">
      <c r="A24" s="22" t="s">
        <v>4</v>
      </c>
    </row>
    <row r="25" spans="1:10" hidden="1" x14ac:dyDescent="0.2">
      <c r="A25" s="22" t="s">
        <v>3</v>
      </c>
      <c r="B25" s="64" t="e">
        <f>B19*B22</f>
        <v>#N/A</v>
      </c>
      <c r="C25" s="65" t="s">
        <v>72</v>
      </c>
      <c r="D25" s="53" t="s">
        <v>24</v>
      </c>
      <c r="F25" s="66" t="e">
        <f>B19*B22*((100-B16)/100)</f>
        <v>#N/A</v>
      </c>
      <c r="G25" s="67" t="s">
        <v>25</v>
      </c>
      <c r="H25" s="53" t="s">
        <v>26</v>
      </c>
    </row>
    <row r="26" spans="1:10" hidden="1" x14ac:dyDescent="0.2"/>
    <row r="27" spans="1:10" hidden="1" x14ac:dyDescent="0.2">
      <c r="A27" s="22" t="s">
        <v>27</v>
      </c>
    </row>
    <row r="28" spans="1:10" hidden="1" x14ac:dyDescent="0.2">
      <c r="A28" s="22" t="s">
        <v>5</v>
      </c>
      <c r="B28" s="64" t="e">
        <f>(F25*B15)/2000</f>
        <v>#N/A</v>
      </c>
      <c r="C28" s="65" t="s">
        <v>73</v>
      </c>
    </row>
    <row r="29" spans="1:10" hidden="1" x14ac:dyDescent="0.2">
      <c r="C29" s="53"/>
      <c r="D29" s="53"/>
      <c r="G29" s="53"/>
      <c r="H29" s="53"/>
    </row>
    <row r="31" spans="1:10" ht="15.75" x14ac:dyDescent="0.25">
      <c r="A31" s="21" t="s">
        <v>114</v>
      </c>
      <c r="C31" s="68"/>
      <c r="D31" s="69"/>
      <c r="I31" s="57" t="s">
        <v>20</v>
      </c>
      <c r="J31" s="54">
        <v>30903008</v>
      </c>
    </row>
    <row r="32" spans="1:10" x14ac:dyDescent="0.2">
      <c r="A32" s="22" t="s">
        <v>88</v>
      </c>
    </row>
    <row r="34" spans="1:13" x14ac:dyDescent="0.2">
      <c r="A34" s="26" t="s">
        <v>104</v>
      </c>
      <c r="B34" s="72"/>
      <c r="C34" s="74" t="s">
        <v>95</v>
      </c>
      <c r="E34" s="56"/>
      <c r="F34" s="53"/>
      <c r="M34" s="53"/>
    </row>
    <row r="35" spans="1:13" x14ac:dyDescent="0.2">
      <c r="A35" s="26" t="s">
        <v>17</v>
      </c>
      <c r="B35" s="73"/>
      <c r="C35" s="53" t="s">
        <v>9</v>
      </c>
      <c r="I35" s="58" t="s">
        <v>18</v>
      </c>
      <c r="J35" s="59"/>
    </row>
    <row r="36" spans="1:13" x14ac:dyDescent="0.2">
      <c r="A36" s="26" t="s">
        <v>85</v>
      </c>
      <c r="B36" s="73"/>
      <c r="C36" s="53" t="s">
        <v>9</v>
      </c>
      <c r="D36" s="63" t="s">
        <v>100</v>
      </c>
      <c r="I36" s="26" t="s">
        <v>90</v>
      </c>
      <c r="J36" s="73"/>
    </row>
    <row r="37" spans="1:13" x14ac:dyDescent="0.2">
      <c r="A37" s="26" t="s">
        <v>86</v>
      </c>
      <c r="B37" s="73"/>
      <c r="C37" s="53" t="s">
        <v>11</v>
      </c>
      <c r="I37" s="26" t="s">
        <v>19</v>
      </c>
      <c r="J37" s="71" t="e">
        <f>LOOKUP(J36,'Spec Gravity - Fume Generation'!A6:A10,'Spec Gravity - Fume Generation'!E6:E10)</f>
        <v>#N/A</v>
      </c>
    </row>
    <row r="38" spans="1:13" x14ac:dyDescent="0.2">
      <c r="A38" s="26" t="s">
        <v>14</v>
      </c>
      <c r="B38" s="84" t="e">
        <f>J38</f>
        <v>#N/A</v>
      </c>
      <c r="C38" s="53" t="s">
        <v>12</v>
      </c>
      <c r="I38" s="60" t="s">
        <v>107</v>
      </c>
      <c r="J38" s="61" t="e">
        <f>+J37*0.036127</f>
        <v>#N/A</v>
      </c>
    </row>
    <row r="39" spans="1:13" x14ac:dyDescent="0.2">
      <c r="A39" s="26" t="s">
        <v>6</v>
      </c>
      <c r="B39" s="84" t="e">
        <f>VLOOKUP(J36,'Spec Gravity - Fume Generation'!A5:D10,MATCH(Cutting!B34,'Spec Gravity - Fume Generation'!A5:D5,0),FALSE)</f>
        <v>#N/A</v>
      </c>
      <c r="C39" s="53" t="s">
        <v>1</v>
      </c>
    </row>
    <row r="40" spans="1:13" x14ac:dyDescent="0.2">
      <c r="A40" s="26" t="s">
        <v>52</v>
      </c>
      <c r="B40" s="79"/>
      <c r="C40" s="53" t="s">
        <v>53</v>
      </c>
      <c r="D40" s="63" t="s">
        <v>101</v>
      </c>
    </row>
    <row r="41" spans="1:13" x14ac:dyDescent="0.2">
      <c r="A41" s="26" t="s">
        <v>7</v>
      </c>
      <c r="B41" s="73"/>
      <c r="C41" s="53" t="s">
        <v>8</v>
      </c>
      <c r="D41" s="63" t="s">
        <v>105</v>
      </c>
    </row>
    <row r="42" spans="1:13" x14ac:dyDescent="0.2">
      <c r="A42" s="26" t="s">
        <v>89</v>
      </c>
      <c r="B42" s="73"/>
      <c r="C42" s="53" t="s">
        <v>23</v>
      </c>
      <c r="D42" s="63" t="s">
        <v>0</v>
      </c>
    </row>
    <row r="44" spans="1:13" x14ac:dyDescent="0.2">
      <c r="A44" s="53"/>
      <c r="B44" s="53"/>
    </row>
    <row r="45" spans="1:13" x14ac:dyDescent="0.2">
      <c r="A45" s="22" t="s">
        <v>2</v>
      </c>
    </row>
    <row r="46" spans="1:13" x14ac:dyDescent="0.2">
      <c r="A46" s="22" t="s">
        <v>83</v>
      </c>
      <c r="B46" s="66" t="e">
        <f>B35*B36*B38*(B39/100)</f>
        <v>#N/A</v>
      </c>
      <c r="C46" s="67" t="s">
        <v>13</v>
      </c>
    </row>
    <row r="47" spans="1:13" x14ac:dyDescent="0.2">
      <c r="E47" s="53"/>
    </row>
    <row r="48" spans="1:13" x14ac:dyDescent="0.2">
      <c r="A48" s="22" t="s">
        <v>16</v>
      </c>
    </row>
    <row r="49" spans="1:5" x14ac:dyDescent="0.2">
      <c r="A49" s="22" t="s">
        <v>15</v>
      </c>
      <c r="B49" s="85">
        <f>B37*60</f>
        <v>0</v>
      </c>
      <c r="C49" s="67" t="s">
        <v>10</v>
      </c>
      <c r="D49" s="53"/>
    </row>
    <row r="51" spans="1:5" x14ac:dyDescent="0.2">
      <c r="A51" s="22" t="s">
        <v>4</v>
      </c>
      <c r="E51" s="53"/>
    </row>
    <row r="52" spans="1:5" x14ac:dyDescent="0.2">
      <c r="A52" s="22" t="s">
        <v>3</v>
      </c>
      <c r="B52" s="64" t="e">
        <f>B46*B49</f>
        <v>#N/A</v>
      </c>
      <c r="C52" s="65" t="s">
        <v>25</v>
      </c>
      <c r="D52" s="53"/>
    </row>
    <row r="54" spans="1:5" x14ac:dyDescent="0.2">
      <c r="A54" s="22" t="s">
        <v>27</v>
      </c>
    </row>
    <row r="55" spans="1:5" x14ac:dyDescent="0.2">
      <c r="A55" s="22" t="s">
        <v>5</v>
      </c>
      <c r="B55" s="64" t="e">
        <f>IF(B40&gt;0,(B40*B46*((100-B42)/100)/2000),(B52*B41)*((100-B42)/100)/2000)</f>
        <v>#N/A</v>
      </c>
      <c r="C55" s="65" t="s">
        <v>73</v>
      </c>
      <c r="E55" s="53"/>
    </row>
    <row r="56" spans="1:5" x14ac:dyDescent="0.2">
      <c r="C56" s="53"/>
      <c r="D56" s="53"/>
    </row>
    <row r="58" spans="1:5" x14ac:dyDescent="0.2">
      <c r="D58" s="53"/>
    </row>
    <row r="59" spans="1:5" x14ac:dyDescent="0.2">
      <c r="E59" s="53"/>
    </row>
    <row r="63" spans="1:5" x14ac:dyDescent="0.2">
      <c r="C63" s="53"/>
      <c r="D63" s="53"/>
    </row>
  </sheetData>
  <sheetProtection algorithmName="SHA-512" hashValue="n6Gbxo1je/cZ8B9JJ83VtUnpDxVsDYODF5BHJBwmobt4EuziNnBANd2IA471SupTK2HtLZkm2YE3tJw7jpstHQ==" saltValue="cEkjMIB1F8C6lW7ukAuVIA==" spinCount="100000" sheet="1" objects="1" scenarios="1"/>
  <phoneticPr fontId="0" type="noConversion"/>
  <dataValidations count="2">
    <dataValidation type="list" allowBlank="1" showInputMessage="1" showErrorMessage="1" sqref="J36" xr:uid="{00000000-0002-0000-0000-000000000000}">
      <formula1>$M$10:$M$14</formula1>
    </dataValidation>
    <dataValidation type="list" allowBlank="1" showInputMessage="1" showErrorMessage="1" sqref="B9 B34" xr:uid="{00000000-0002-0000-0000-000001000000}">
      <formula1>$N$10:$N$12</formula1>
    </dataValidation>
  </dataValidations>
  <pageMargins left="0.75" right="0.75" top="1" bottom="1" header="0.5" footer="0.5"/>
  <pageSetup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/>
  </sheetViews>
  <sheetFormatPr defaultRowHeight="12.75" x14ac:dyDescent="0.2"/>
  <cols>
    <col min="1" max="1" width="33" style="22" customWidth="1"/>
    <col min="2" max="2" width="12.42578125" style="22" customWidth="1"/>
    <col min="3" max="3" width="11.85546875" style="22" customWidth="1"/>
    <col min="4" max="16384" width="9.140625" style="22"/>
  </cols>
  <sheetData>
    <row r="1" spans="1:6" ht="15.75" x14ac:dyDescent="0.25">
      <c r="A1" s="21" t="s">
        <v>55</v>
      </c>
    </row>
    <row r="2" spans="1:6" x14ac:dyDescent="0.2">
      <c r="A2" s="23" t="s">
        <v>56</v>
      </c>
      <c r="B2" s="94"/>
      <c r="C2" s="95"/>
      <c r="D2" s="95"/>
      <c r="E2" s="95"/>
      <c r="F2" s="96"/>
    </row>
    <row r="4" spans="1:6" x14ac:dyDescent="0.2">
      <c r="A4" s="24" t="s">
        <v>57</v>
      </c>
    </row>
    <row r="5" spans="1:6" x14ac:dyDescent="0.2">
      <c r="B5" s="25" t="s">
        <v>25</v>
      </c>
      <c r="C5" s="25" t="s">
        <v>58</v>
      </c>
    </row>
    <row r="6" spans="1:6" x14ac:dyDescent="0.2">
      <c r="A6" s="26" t="s">
        <v>59</v>
      </c>
      <c r="B6" s="44"/>
      <c r="C6" s="44"/>
    </row>
    <row r="7" spans="1:6" x14ac:dyDescent="0.2">
      <c r="A7" s="26" t="s">
        <v>60</v>
      </c>
      <c r="B7" s="44"/>
      <c r="C7" s="44"/>
    </row>
    <row r="8" spans="1:6" x14ac:dyDescent="0.2">
      <c r="A8" s="26" t="s">
        <v>61</v>
      </c>
      <c r="B8" s="27"/>
      <c r="C8" s="27"/>
    </row>
    <row r="9" spans="1:6" x14ac:dyDescent="0.2">
      <c r="A9" s="26" t="s">
        <v>62</v>
      </c>
      <c r="B9" s="27"/>
      <c r="C9" s="27"/>
    </row>
    <row r="10" spans="1:6" x14ac:dyDescent="0.2">
      <c r="A10" s="26" t="s">
        <v>63</v>
      </c>
      <c r="B10" s="27"/>
      <c r="C10" s="27"/>
    </row>
    <row r="11" spans="1:6" x14ac:dyDescent="0.2">
      <c r="A11" s="26" t="s">
        <v>64</v>
      </c>
      <c r="B11" s="27"/>
      <c r="C11" s="27"/>
    </row>
    <row r="12" spans="1:6" x14ac:dyDescent="0.2">
      <c r="A12" s="26" t="s">
        <v>65</v>
      </c>
      <c r="B12" s="27"/>
      <c r="C12" s="27"/>
    </row>
    <row r="13" spans="1:6" x14ac:dyDescent="0.2">
      <c r="A13" s="26" t="s">
        <v>66</v>
      </c>
      <c r="B13" s="44"/>
      <c r="C13" s="44"/>
    </row>
    <row r="14" spans="1:6" x14ac:dyDescent="0.2">
      <c r="A14" s="26" t="s">
        <v>67</v>
      </c>
      <c r="B14" s="44"/>
      <c r="C14" s="44"/>
    </row>
    <row r="16" spans="1:6" x14ac:dyDescent="0.2">
      <c r="A16" s="24" t="s">
        <v>68</v>
      </c>
      <c r="D16" s="28"/>
    </row>
    <row r="17" spans="1:4" x14ac:dyDescent="0.2">
      <c r="A17" s="33" t="s">
        <v>82</v>
      </c>
      <c r="B17" s="45"/>
      <c r="C17" s="25" t="s">
        <v>81</v>
      </c>
      <c r="D17" s="28"/>
    </row>
    <row r="18" spans="1:4" x14ac:dyDescent="0.2">
      <c r="A18" s="26" t="s">
        <v>84</v>
      </c>
      <c r="B18" s="45"/>
      <c r="C18" s="25" t="s">
        <v>76</v>
      </c>
    </row>
    <row r="19" spans="1:4" x14ac:dyDescent="0.2">
      <c r="A19" s="26" t="s">
        <v>69</v>
      </c>
      <c r="B19" s="45"/>
      <c r="C19" s="25" t="s">
        <v>70</v>
      </c>
    </row>
    <row r="20" spans="1:4" x14ac:dyDescent="0.2">
      <c r="B20" s="22" t="s">
        <v>71</v>
      </c>
    </row>
  </sheetData>
  <sheetProtection password="CC03" sheet="1" objects="1" scenarios="1"/>
  <mergeCells count="1">
    <mergeCell ref="B2:F2"/>
  </mergeCells>
  <phoneticPr fontId="13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95"/>
  <sheetViews>
    <sheetView workbookViewId="0">
      <selection sqref="A1:H1"/>
    </sheetView>
  </sheetViews>
  <sheetFormatPr defaultRowHeight="12.75" x14ac:dyDescent="0.2"/>
  <cols>
    <col min="3" max="3" width="9.42578125" customWidth="1"/>
    <col min="4" max="4" width="22.42578125" customWidth="1"/>
    <col min="5" max="5" width="7.42578125" customWidth="1"/>
    <col min="6" max="6" width="10.85546875" customWidth="1"/>
    <col min="7" max="8" width="8.85546875" customWidth="1"/>
    <col min="10" max="10" width="8.42578125" customWidth="1"/>
  </cols>
  <sheetData>
    <row r="1" spans="1:38" x14ac:dyDescent="0.2">
      <c r="A1" s="97" t="s">
        <v>29</v>
      </c>
      <c r="B1" s="98"/>
      <c r="C1" s="98"/>
      <c r="D1" s="98"/>
      <c r="E1" s="98"/>
      <c r="F1" s="98"/>
      <c r="G1" s="98"/>
      <c r="H1" s="9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">
      <c r="A2" s="3"/>
      <c r="B2" s="4"/>
      <c r="C2" s="4"/>
      <c r="D2" s="42"/>
      <c r="E2" s="42"/>
      <c r="F2" s="42"/>
      <c r="G2" s="42"/>
      <c r="H2" s="4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s="35" customFormat="1" x14ac:dyDescent="0.2">
      <c r="A3" s="108" t="s">
        <v>78</v>
      </c>
      <c r="B3" s="109"/>
      <c r="C3" s="109"/>
      <c r="D3" s="110">
        <f>Cutting!J31</f>
        <v>30903008</v>
      </c>
      <c r="E3" s="111"/>
      <c r="F3" s="43"/>
      <c r="G3" s="43"/>
      <c r="H3" s="43"/>
      <c r="I3" s="43"/>
      <c r="J3" s="43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</row>
    <row r="4" spans="1:38" s="35" customFormat="1" x14ac:dyDescent="0.2">
      <c r="A4" s="120" t="s">
        <v>109</v>
      </c>
      <c r="B4" s="121"/>
      <c r="C4" s="121"/>
      <c r="D4" s="104" t="s">
        <v>80</v>
      </c>
      <c r="E4" s="104"/>
      <c r="F4" s="104"/>
      <c r="G4" s="104"/>
      <c r="H4" s="104"/>
      <c r="I4" s="104"/>
      <c r="J4" s="104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</row>
    <row r="5" spans="1:38" s="35" customFormat="1" x14ac:dyDescent="0.2">
      <c r="A5" s="108" t="s">
        <v>99</v>
      </c>
      <c r="B5" s="98"/>
      <c r="C5" s="99"/>
      <c r="D5" s="112">
        <f>Cutting!J36</f>
        <v>0</v>
      </c>
      <c r="E5" s="113"/>
      <c r="F5" s="43"/>
      <c r="G5" s="43"/>
      <c r="H5" s="43"/>
      <c r="I5" s="43"/>
      <c r="J5" s="43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</row>
    <row r="6" spans="1:38" x14ac:dyDescent="0.2">
      <c r="A6" s="100" t="s">
        <v>30</v>
      </c>
      <c r="B6" s="101"/>
      <c r="C6" s="102"/>
      <c r="D6" s="103">
        <f>IF('Permit Limits'!B17&gt;0,'Permit Limits'!B17*60,Cutting!B22)</f>
        <v>0</v>
      </c>
      <c r="E6" s="104"/>
      <c r="F6" s="105" t="s">
        <v>51</v>
      </c>
      <c r="G6" s="106"/>
      <c r="H6" s="107"/>
      <c r="I6" s="114" t="s">
        <v>31</v>
      </c>
      <c r="J6" s="11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">
      <c r="A7" s="5"/>
      <c r="B7" s="5"/>
      <c r="C7" s="5"/>
      <c r="D7" s="6"/>
      <c r="E7" s="7"/>
      <c r="F7" s="8"/>
      <c r="G7" s="8"/>
      <c r="H7" s="8"/>
      <c r="I7" s="9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">
      <c r="A8" s="116" t="s">
        <v>32</v>
      </c>
      <c r="B8" s="117"/>
      <c r="C8" s="117"/>
      <c r="D8" s="117"/>
      <c r="E8" s="117"/>
      <c r="F8" s="117"/>
      <c r="G8" s="117"/>
      <c r="H8" s="117"/>
      <c r="I8" s="117"/>
      <c r="J8" s="1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">
      <c r="A9" s="10">
        <v>14</v>
      </c>
      <c r="B9" s="10">
        <v>15</v>
      </c>
      <c r="C9" s="10">
        <v>16</v>
      </c>
      <c r="D9" s="10">
        <v>17</v>
      </c>
      <c r="E9" s="10">
        <v>18</v>
      </c>
      <c r="F9" s="10">
        <v>19</v>
      </c>
      <c r="G9" s="10">
        <v>20</v>
      </c>
      <c r="H9" s="10">
        <v>21</v>
      </c>
      <c r="I9" s="10">
        <v>22</v>
      </c>
      <c r="J9" s="10">
        <v>23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67.5" x14ac:dyDescent="0.2">
      <c r="A10" s="11" t="s">
        <v>33</v>
      </c>
      <c r="B10" s="11" t="s">
        <v>34</v>
      </c>
      <c r="C10" s="11" t="s">
        <v>35</v>
      </c>
      <c r="D10" s="11" t="s">
        <v>36</v>
      </c>
      <c r="E10" s="11" t="s">
        <v>37</v>
      </c>
      <c r="F10" s="11" t="s">
        <v>38</v>
      </c>
      <c r="G10" s="11" t="s">
        <v>39</v>
      </c>
      <c r="H10" s="11" t="s">
        <v>40</v>
      </c>
      <c r="I10" s="11" t="s">
        <v>41</v>
      </c>
      <c r="J10" s="11" t="s">
        <v>42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24" customHeight="1" x14ac:dyDescent="0.2">
      <c r="A11" s="12" t="s">
        <v>43</v>
      </c>
      <c r="B11" s="36" t="e">
        <f>Cutting!B19</f>
        <v>#N/A</v>
      </c>
      <c r="C11" s="37" t="e">
        <f>IF(B11&gt;0,"lb/inch"," ")</f>
        <v>#N/A</v>
      </c>
      <c r="D11" s="41" t="e">
        <f>IF(B11&gt;0,"Swedish Institute of Production Engineering Research"," ")</f>
        <v>#N/A</v>
      </c>
      <c r="E11" s="38"/>
      <c r="F11" s="39" t="e">
        <f>IF(B11&gt;0,D6*B11," ")</f>
        <v>#N/A</v>
      </c>
      <c r="G11" s="38" t="str">
        <f>IF(Cutting!B16&gt;0,(Cutting!B16),(" "))</f>
        <v xml:space="preserve"> </v>
      </c>
      <c r="H11" s="38"/>
      <c r="I11" s="46" t="str">
        <f>IF('Permit Limits'!B6&gt;0,'Permit Limits'!B6,IF('Permit Limits'!B7&gt;0,'Permit Limits'!B7,IF(Cutting!B16&gt;0,F11*((100-G11)/100)," ")))</f>
        <v xml:space="preserve"> </v>
      </c>
      <c r="J11" s="40" t="e">
        <f>IF('Permit Limits'!C6&gt;0,'Permit Limits'!C6,IF('Permit Limits'!C7&gt;0,'Permit Limits'!C7,IF('Permit Limits'!B18&gt;0,'Permit Limits'!B18*'INV-3'!B11*((100-Cutting!B16)/100)/2000,IF('Permit Limits'!B19&gt;0,'Permit Limits'!B19*D6*'INV-3'!B11*((100-Cutting!B16)/100)/2000,IF('Permit Limits'!B6&gt;0,'Permit Limits'!B6*8760/2000,IF('Permit Limits'!B7&gt;0,'Permit Limits'!B7*8760/2000,IF(Cutting!B16&gt;0,'INV-3'!I11*8760/2000,'INV-3'!F11*8760/2000)))))))</f>
        <v>#N/A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24.75" customHeight="1" x14ac:dyDescent="0.2">
      <c r="A12" s="12" t="s">
        <v>44</v>
      </c>
      <c r="B12" s="36" t="e">
        <f>Cutting!B19</f>
        <v>#N/A</v>
      </c>
      <c r="C12" s="37" t="e">
        <f>IF(B12&gt;0,"lb/inch"," ")</f>
        <v>#N/A</v>
      </c>
      <c r="D12" s="41" t="e">
        <f>IF(B12&gt;0,"Swedish Institute of Production Engineering Research"," ")</f>
        <v>#N/A</v>
      </c>
      <c r="E12" s="38"/>
      <c r="F12" s="39" t="e">
        <f>IF(B12&gt;0,D6*B12," ")</f>
        <v>#N/A</v>
      </c>
      <c r="G12" s="38" t="str">
        <f>IF(Cutting!B16&gt;0,(Cutting!B16),(" "))</f>
        <v xml:space="preserve"> </v>
      </c>
      <c r="H12" s="38"/>
      <c r="I12" s="46" t="str">
        <f>IF('Permit Limits'!B7&gt;0,'Permit Limits'!B7,IF('Permit Limits'!B6&gt;0,'Permit Limits'!B6,IF(Cutting!B16&gt;0,F12*((100-G12)/100)," ")))</f>
        <v xml:space="preserve"> </v>
      </c>
      <c r="J12" s="40" t="e">
        <f>IF('Permit Limits'!C7&gt;0,'Permit Limits'!C7,IF('Permit Limits'!C6&gt;0,'Permit Limits'!C6,IF('Permit Limits'!B18&gt;0,'Permit Limits'!B18*'INV-3'!B12*((100-Cutting!B16)/100)/2000,IF('Permit Limits'!B19&gt;0,'Permit Limits'!B19*D6*'INV-3'!B11*((100-Cutting!B16)/100)/2000,IF('Permit Limits'!B7&gt;0,'Permit Limits'!B7*8760/2000,IF('Permit Limits'!B6&gt;0,'Permit Limits'!B6*8760/2000,IF(Cutting!B16&gt;0,'INV-3'!I12*8760/2000,'INV-3'!F12*8760/2000)))))))</f>
        <v>#N/A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2">
      <c r="A13" s="12" t="s">
        <v>45</v>
      </c>
      <c r="B13" s="10"/>
      <c r="C13" s="13"/>
      <c r="D13" s="13"/>
      <c r="E13" s="14"/>
      <c r="F13" s="14"/>
      <c r="G13" s="14"/>
      <c r="H13" s="16"/>
      <c r="I13" s="14"/>
      <c r="J13" s="1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2">
      <c r="A14" s="12" t="s">
        <v>46</v>
      </c>
      <c r="B14" s="10"/>
      <c r="C14" s="13"/>
      <c r="D14" s="13"/>
      <c r="E14" s="16"/>
      <c r="F14" s="14"/>
      <c r="G14" s="14"/>
      <c r="H14" s="16"/>
      <c r="I14" s="14"/>
      <c r="J14" s="1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2">
      <c r="A15" s="12" t="s">
        <v>47</v>
      </c>
      <c r="B15" s="10"/>
      <c r="C15" s="13"/>
      <c r="D15" s="13"/>
      <c r="E15" s="16"/>
      <c r="F15" s="14"/>
      <c r="G15" s="14"/>
      <c r="H15" s="16"/>
      <c r="I15" s="14"/>
      <c r="J15" s="1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2">
      <c r="A16" s="12" t="s">
        <v>48</v>
      </c>
      <c r="B16" s="10"/>
      <c r="C16" s="13"/>
      <c r="D16" s="13"/>
      <c r="E16" s="16"/>
      <c r="F16" s="14"/>
      <c r="G16" s="14"/>
      <c r="H16" s="16"/>
      <c r="I16" s="14"/>
      <c r="J16" s="1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2">
      <c r="A17" s="12" t="s">
        <v>21</v>
      </c>
      <c r="B17" s="10"/>
      <c r="C17" s="13"/>
      <c r="D17" s="13"/>
      <c r="E17" s="16"/>
      <c r="F17" s="14"/>
      <c r="G17" s="14"/>
      <c r="H17" s="16"/>
      <c r="I17" s="14"/>
      <c r="J17" s="1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">
      <c r="A18" s="12" t="s">
        <v>49</v>
      </c>
      <c r="B18" s="10"/>
      <c r="C18" s="13"/>
      <c r="D18" s="13"/>
      <c r="E18" s="16"/>
      <c r="F18" s="14"/>
      <c r="G18" s="14"/>
      <c r="H18" s="16"/>
      <c r="I18" s="14"/>
      <c r="J18" s="1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">
      <c r="A19" s="116" t="s">
        <v>50</v>
      </c>
      <c r="B19" s="117"/>
      <c r="C19" s="117"/>
      <c r="D19" s="117"/>
      <c r="E19" s="117"/>
      <c r="F19" s="117"/>
      <c r="G19" s="117"/>
      <c r="H19" s="117"/>
      <c r="I19" s="117"/>
      <c r="J19" s="11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">
      <c r="A20" s="17"/>
      <c r="B20" s="18"/>
      <c r="C20" s="19"/>
      <c r="D20" s="19"/>
      <c r="E20" s="16"/>
      <c r="F20" s="14"/>
      <c r="G20" s="14"/>
      <c r="H20" s="16"/>
      <c r="I20" s="14"/>
      <c r="J20" s="1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">
      <c r="A21" s="17"/>
      <c r="B21" s="18"/>
      <c r="C21" s="19"/>
      <c r="D21" s="19"/>
      <c r="E21" s="16"/>
      <c r="F21" s="14"/>
      <c r="G21" s="14"/>
      <c r="H21" s="16"/>
      <c r="I21" s="14"/>
      <c r="J21" s="1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">
      <c r="A22" s="17"/>
      <c r="B22" s="18"/>
      <c r="C22" s="19"/>
      <c r="D22" s="19"/>
      <c r="E22" s="16"/>
      <c r="F22" s="14"/>
      <c r="G22" s="14"/>
      <c r="H22" s="16"/>
      <c r="I22" s="14"/>
      <c r="J22" s="1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">
      <c r="A23" s="17"/>
      <c r="B23" s="18"/>
      <c r="C23" s="19"/>
      <c r="D23" s="19"/>
      <c r="E23" s="16"/>
      <c r="F23" s="14"/>
      <c r="G23" s="14"/>
      <c r="H23" s="16"/>
      <c r="I23" s="14"/>
      <c r="J23" s="1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">
      <c r="A24" s="20"/>
      <c r="B24" s="18"/>
      <c r="C24" s="19"/>
      <c r="D24" s="19"/>
      <c r="E24" s="16"/>
      <c r="F24" s="14"/>
      <c r="G24" s="14"/>
      <c r="H24" s="16"/>
      <c r="I24" s="14"/>
      <c r="J24" s="1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">
      <c r="A25" s="20"/>
      <c r="B25" s="18"/>
      <c r="C25" s="19"/>
      <c r="D25" s="19"/>
      <c r="E25" s="16"/>
      <c r="F25" s="14"/>
      <c r="G25" s="14"/>
      <c r="H25" s="16"/>
      <c r="I25" s="14"/>
      <c r="J25" s="1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38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38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</sheetData>
  <sheetProtection password="CC03" sheet="1" objects="1" scenarios="1"/>
  <mergeCells count="13">
    <mergeCell ref="I6:J6"/>
    <mergeCell ref="A8:J8"/>
    <mergeCell ref="A19:J19"/>
    <mergeCell ref="A4:C4"/>
    <mergeCell ref="D4:J4"/>
    <mergeCell ref="A1:H1"/>
    <mergeCell ref="A6:C6"/>
    <mergeCell ref="D6:E6"/>
    <mergeCell ref="F6:H6"/>
    <mergeCell ref="A3:C3"/>
    <mergeCell ref="D3:E3"/>
    <mergeCell ref="A5:C5"/>
    <mergeCell ref="D5:E5"/>
  </mergeCells>
  <phoneticPr fontId="13" type="noConversion"/>
  <pageMargins left="0.25" right="0.2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zoomScaleNormal="100" workbookViewId="0"/>
  </sheetViews>
  <sheetFormatPr defaultRowHeight="12.75" x14ac:dyDescent="0.2"/>
  <cols>
    <col min="1" max="1" width="34.5703125" customWidth="1"/>
    <col min="2" max="2" width="29.7109375" customWidth="1"/>
    <col min="3" max="3" width="16.5703125" customWidth="1"/>
    <col min="4" max="4" width="16.28515625" customWidth="1"/>
    <col min="5" max="5" width="14.42578125" customWidth="1"/>
    <col min="6" max="6" width="17.85546875" customWidth="1"/>
  </cols>
  <sheetData>
    <row r="1" spans="1:6" s="22" customFormat="1" ht="15.75" x14ac:dyDescent="0.25">
      <c r="A1" s="129" t="s">
        <v>115</v>
      </c>
      <c r="B1" s="130"/>
      <c r="C1" s="130"/>
      <c r="D1" s="130"/>
      <c r="E1" s="130"/>
      <c r="F1" s="131"/>
    </row>
    <row r="2" spans="1:6" s="22" customFormat="1" x14ac:dyDescent="0.2">
      <c r="A2" s="141" t="s">
        <v>116</v>
      </c>
      <c r="B2" s="132"/>
      <c r="C2" s="132"/>
      <c r="D2" s="132"/>
      <c r="E2" s="140"/>
      <c r="F2" s="140"/>
    </row>
    <row r="3" spans="1:6" x14ac:dyDescent="0.2">
      <c r="A3" s="93"/>
      <c r="B3" s="42"/>
      <c r="C3" s="42"/>
      <c r="D3" s="42"/>
      <c r="E3" s="42"/>
      <c r="F3" s="42"/>
    </row>
    <row r="4" spans="1:6" ht="15" x14ac:dyDescent="0.25">
      <c r="A4" s="133" t="s">
        <v>117</v>
      </c>
      <c r="B4" s="34"/>
      <c r="C4" s="34"/>
      <c r="D4" s="34"/>
      <c r="E4" s="34"/>
      <c r="F4" s="34"/>
    </row>
    <row r="5" spans="1:6" ht="15" x14ac:dyDescent="0.25">
      <c r="A5" s="136" t="s">
        <v>118</v>
      </c>
      <c r="B5" s="146" t="str">
        <f>IF(Cutting!B5="","",Cutting!B5)</f>
        <v/>
      </c>
      <c r="C5" s="34"/>
      <c r="D5" s="34"/>
      <c r="E5" s="34"/>
      <c r="F5" s="34"/>
    </row>
    <row r="6" spans="1:6" ht="15" x14ac:dyDescent="0.25">
      <c r="A6" s="136" t="s">
        <v>119</v>
      </c>
      <c r="B6" s="146">
        <f>Cutting!J31</f>
        <v>30903008</v>
      </c>
      <c r="C6" s="34"/>
      <c r="D6" s="34"/>
      <c r="E6" s="34"/>
      <c r="F6" s="34"/>
    </row>
    <row r="7" spans="1:6" ht="15" x14ac:dyDescent="0.25">
      <c r="A7" s="136" t="s">
        <v>120</v>
      </c>
      <c r="B7" s="146" t="s">
        <v>80</v>
      </c>
      <c r="C7" s="1"/>
      <c r="D7" s="91"/>
      <c r="E7" s="42"/>
      <c r="F7" s="42"/>
    </row>
    <row r="8" spans="1:6" ht="15" x14ac:dyDescent="0.25">
      <c r="A8" s="136" t="s">
        <v>121</v>
      </c>
      <c r="B8" s="146">
        <f>IF(Cutting!B40&gt;0,Cutting!B40,Cutting!B41*Cutting!B49)</f>
        <v>0</v>
      </c>
      <c r="C8" s="1"/>
      <c r="D8" s="1"/>
      <c r="E8" s="91"/>
      <c r="F8" s="91"/>
    </row>
    <row r="9" spans="1:6" ht="15" x14ac:dyDescent="0.25">
      <c r="A9" s="136" t="s">
        <v>123</v>
      </c>
      <c r="B9" s="146" t="s">
        <v>51</v>
      </c>
      <c r="C9" s="1"/>
      <c r="D9" s="1"/>
      <c r="E9" s="91"/>
      <c r="F9" s="91"/>
    </row>
    <row r="10" spans="1:6" ht="15" x14ac:dyDescent="0.25">
      <c r="A10" s="136" t="s">
        <v>124</v>
      </c>
      <c r="B10" s="146" t="s">
        <v>125</v>
      </c>
      <c r="C10" s="1"/>
      <c r="D10" s="1"/>
      <c r="E10" s="91"/>
      <c r="F10" s="91"/>
    </row>
    <row r="11" spans="1:6" ht="15" x14ac:dyDescent="0.25">
      <c r="A11" s="136" t="s">
        <v>122</v>
      </c>
      <c r="B11" s="146">
        <f>Cutting!J36</f>
        <v>0</v>
      </c>
      <c r="C11" s="1"/>
      <c r="D11" s="134"/>
      <c r="E11" s="91"/>
      <c r="F11" s="91"/>
    </row>
    <row r="12" spans="1:6" x14ac:dyDescent="0.2">
      <c r="A12" s="135"/>
      <c r="B12" s="135"/>
      <c r="C12" s="1"/>
      <c r="D12" s="1"/>
      <c r="E12" s="92"/>
      <c r="F12" s="1"/>
    </row>
    <row r="13" spans="1:6" ht="15" x14ac:dyDescent="0.25">
      <c r="A13" s="133" t="s">
        <v>126</v>
      </c>
      <c r="B13" s="137"/>
      <c r="C13" s="137"/>
      <c r="D13" s="137"/>
      <c r="E13" s="137"/>
      <c r="F13" s="137"/>
    </row>
    <row r="14" spans="1:6" ht="45" x14ac:dyDescent="0.25">
      <c r="A14" s="138" t="s">
        <v>127</v>
      </c>
      <c r="B14" s="138" t="s">
        <v>128</v>
      </c>
      <c r="C14" s="138" t="s">
        <v>129</v>
      </c>
      <c r="D14" s="138" t="s">
        <v>35</v>
      </c>
      <c r="E14" s="138" t="s">
        <v>130</v>
      </c>
      <c r="F14" s="138" t="s">
        <v>131</v>
      </c>
    </row>
    <row r="15" spans="1:6" ht="27.75" customHeight="1" x14ac:dyDescent="0.2">
      <c r="A15" s="139" t="s">
        <v>132</v>
      </c>
      <c r="B15" s="142" t="e">
        <f>IF(C15&gt;0,"2.2 - Engineering Judgement EF (pre-control)"," ")</f>
        <v>#N/A</v>
      </c>
      <c r="C15" s="145" t="e">
        <f>Cutting!B46</f>
        <v>#N/A</v>
      </c>
      <c r="D15" s="143" t="e">
        <f>IF(C15&gt;0,"Inches"," ")</f>
        <v>#N/A</v>
      </c>
      <c r="E15" s="143" t="str">
        <f>IF(Cutting!B42&gt;0,(Cutting!B42),(" "))</f>
        <v xml:space="preserve"> </v>
      </c>
      <c r="F15" s="144" t="e">
        <f>B8*C15*((100-Cutting!B42)/100)/2000</f>
        <v>#N/A</v>
      </c>
    </row>
    <row r="16" spans="1:6" ht="32.25" customHeight="1" x14ac:dyDescent="0.2">
      <c r="A16" s="139" t="s">
        <v>133</v>
      </c>
      <c r="B16" s="142" t="e">
        <f>IF(C16&gt;0,"2.2 - Engineering Judgement EF (pre-control)"," ")</f>
        <v>#N/A</v>
      </c>
      <c r="C16" s="145" t="e">
        <f>Cutting!B46</f>
        <v>#N/A</v>
      </c>
      <c r="D16" s="143" t="e">
        <f>IF(C16&gt;0,"lnches"," ")</f>
        <v>#N/A</v>
      </c>
      <c r="E16" s="143" t="str">
        <f>IF(Cutting!B42&gt;0,(Cutting!B42),(" "))</f>
        <v xml:space="preserve"> </v>
      </c>
      <c r="F16" s="144" t="e">
        <f>B8*C16*((100-Cutting!B42)/100)/2000</f>
        <v>#N/A</v>
      </c>
    </row>
  </sheetData>
  <sheetProtection algorithmName="SHA-512" hashValue="yabaBzqdvS2mlylzh2jnYj8qXhCFkTiF9z/dpRypaaCrSkOK6aGcerZw3d6c52+A6ZPy0iFI78zoZXd3qXNnag==" saltValue="6xzKSXqnsBC3QGzl3qdlFQ==" spinCount="100000" sheet="1" objects="1" scenarios="1"/>
  <phoneticPr fontId="13" type="noConversion"/>
  <pageMargins left="0.25" right="0.2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2"/>
  <sheetViews>
    <sheetView topLeftCell="A2" workbookViewId="0">
      <selection activeCell="A3" sqref="A3"/>
    </sheetView>
  </sheetViews>
  <sheetFormatPr defaultRowHeight="12.75" x14ac:dyDescent="0.2"/>
  <cols>
    <col min="1" max="1" width="26.140625" customWidth="1"/>
    <col min="2" max="2" width="15.5703125" customWidth="1"/>
    <col min="3" max="3" width="12.140625" customWidth="1"/>
    <col min="4" max="4" width="13.85546875" customWidth="1"/>
    <col min="5" max="5" width="17" bestFit="1" customWidth="1"/>
  </cols>
  <sheetData>
    <row r="1" spans="1:5" ht="29.25" customHeight="1" x14ac:dyDescent="0.25">
      <c r="A1" s="2" t="s">
        <v>106</v>
      </c>
      <c r="B1" s="29"/>
    </row>
    <row r="2" spans="1:5" x14ac:dyDescent="0.2">
      <c r="A2" s="47" t="s">
        <v>91</v>
      </c>
      <c r="B2" s="29"/>
    </row>
    <row r="3" spans="1:5" x14ac:dyDescent="0.2">
      <c r="A3" s="47"/>
      <c r="B3" s="29"/>
    </row>
    <row r="4" spans="1:5" x14ac:dyDescent="0.2">
      <c r="A4" s="1"/>
      <c r="B4" s="31"/>
      <c r="C4" s="1"/>
      <c r="D4" s="1"/>
      <c r="E4" s="1"/>
    </row>
    <row r="5" spans="1:5" s="30" customFormat="1" ht="15" x14ac:dyDescent="0.2">
      <c r="A5" s="32" t="s">
        <v>75</v>
      </c>
      <c r="B5" s="32" t="s">
        <v>92</v>
      </c>
      <c r="C5" s="80" t="s">
        <v>93</v>
      </c>
      <c r="D5" s="81" t="s">
        <v>94</v>
      </c>
      <c r="E5" s="32" t="s">
        <v>108</v>
      </c>
    </row>
    <row r="6" spans="1:5" ht="20.25" customHeight="1" x14ac:dyDescent="0.25">
      <c r="A6" s="75" t="s">
        <v>96</v>
      </c>
      <c r="B6" s="10">
        <v>5</v>
      </c>
      <c r="C6" s="10">
        <v>0.5</v>
      </c>
      <c r="D6" s="10">
        <v>0.05</v>
      </c>
      <c r="E6" s="76">
        <v>2.8</v>
      </c>
    </row>
    <row r="7" spans="1:5" ht="20.100000000000001" customHeight="1" x14ac:dyDescent="0.25">
      <c r="A7" s="75" t="s">
        <v>97</v>
      </c>
      <c r="B7" s="10">
        <v>5</v>
      </c>
      <c r="C7" s="10">
        <v>0.5</v>
      </c>
      <c r="D7" s="10">
        <v>0.05</v>
      </c>
      <c r="E7" s="76">
        <v>8.6999999999999993</v>
      </c>
    </row>
    <row r="8" spans="1:5" ht="20.100000000000001" customHeight="1" x14ac:dyDescent="0.25">
      <c r="A8" s="75" t="s">
        <v>103</v>
      </c>
      <c r="B8" s="10">
        <v>1</v>
      </c>
      <c r="C8" s="10">
        <v>0.1</v>
      </c>
      <c r="D8" s="10">
        <v>0.01</v>
      </c>
      <c r="E8" s="76">
        <v>7.7</v>
      </c>
    </row>
    <row r="9" spans="1:5" ht="20.100000000000001" customHeight="1" x14ac:dyDescent="0.25">
      <c r="A9" s="75" t="s">
        <v>102</v>
      </c>
      <c r="B9" s="10">
        <v>7</v>
      </c>
      <c r="C9" s="10">
        <v>0.7</v>
      </c>
      <c r="D9" s="10">
        <v>7.0000000000000007E-2</v>
      </c>
      <c r="E9" s="76">
        <v>7.7</v>
      </c>
    </row>
    <row r="10" spans="1:5" ht="20.100000000000001" customHeight="1" x14ac:dyDescent="0.25">
      <c r="A10" s="75" t="s">
        <v>98</v>
      </c>
      <c r="B10" s="10">
        <v>5</v>
      </c>
      <c r="C10" s="10">
        <v>0.5</v>
      </c>
      <c r="D10" s="10">
        <v>0.05</v>
      </c>
      <c r="E10" s="76">
        <v>7.83</v>
      </c>
    </row>
    <row r="11" spans="1:5" ht="20.100000000000001" customHeight="1" x14ac:dyDescent="0.2">
      <c r="A11" s="1"/>
      <c r="E11" s="1"/>
    </row>
    <row r="12" spans="1:5" ht="20.100000000000001" customHeight="1" x14ac:dyDescent="0.2"/>
    <row r="13" spans="1:5" ht="20.100000000000001" customHeight="1" x14ac:dyDescent="0.2"/>
    <row r="14" spans="1:5" ht="20.100000000000001" customHeight="1" x14ac:dyDescent="0.2"/>
    <row r="15" spans="1:5" ht="20.100000000000001" customHeight="1" x14ac:dyDescent="0.2"/>
    <row r="16" spans="1:5" ht="20.100000000000001" customHeight="1" x14ac:dyDescent="0.2"/>
    <row r="17" spans="5:5" ht="20.100000000000001" customHeight="1" x14ac:dyDescent="0.2"/>
    <row r="18" spans="5:5" ht="20.100000000000001" customHeight="1" x14ac:dyDescent="0.2"/>
    <row r="19" spans="5:5" ht="20.100000000000001" customHeight="1" x14ac:dyDescent="0.2"/>
    <row r="20" spans="5:5" ht="20.100000000000001" customHeight="1" x14ac:dyDescent="0.2"/>
    <row r="21" spans="5:5" ht="20.100000000000001" customHeight="1" x14ac:dyDescent="0.2"/>
    <row r="22" spans="5:5" ht="20.100000000000001" customHeight="1" x14ac:dyDescent="0.2"/>
    <row r="23" spans="5:5" ht="20.100000000000001" customHeight="1" x14ac:dyDescent="0.2"/>
    <row r="24" spans="5:5" ht="20.100000000000001" customHeight="1" x14ac:dyDescent="0.2">
      <c r="E24" t="s">
        <v>77</v>
      </c>
    </row>
    <row r="25" spans="5:5" ht="20.100000000000001" customHeight="1" x14ac:dyDescent="0.2"/>
    <row r="26" spans="5:5" ht="20.100000000000001" customHeight="1" x14ac:dyDescent="0.2"/>
    <row r="27" spans="5:5" ht="20.100000000000001" customHeight="1" x14ac:dyDescent="0.2"/>
    <row r="28" spans="5:5" ht="20.100000000000001" customHeight="1" x14ac:dyDescent="0.2"/>
    <row r="29" spans="5:5" ht="20.100000000000001" customHeight="1" x14ac:dyDescent="0.2"/>
    <row r="30" spans="5:5" ht="20.100000000000001" customHeight="1" x14ac:dyDescent="0.2"/>
    <row r="31" spans="5:5" ht="20.100000000000001" customHeight="1" x14ac:dyDescent="0.2"/>
    <row r="32" spans="5:5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</sheetData>
  <sheetProtection password="CC03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Cutting</vt:lpstr>
      <vt:lpstr>Permit Limits</vt:lpstr>
      <vt:lpstr>INV-3</vt:lpstr>
      <vt:lpstr>Process Emissions</vt:lpstr>
      <vt:lpstr>Spec Gravity - Fume Generation</vt:lpstr>
      <vt:lpstr>'INV-3'!Print_Area</vt:lpstr>
      <vt:lpstr>'Process Emissions'!Print_Area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Wittenburg</dc:creator>
  <cp:lastModifiedBy>Jennifer L Wittenburg</cp:lastModifiedBy>
  <cp:lastPrinted>2011-01-24T21:51:36Z</cp:lastPrinted>
  <dcterms:created xsi:type="dcterms:W3CDTF">2002-03-13T19:17:13Z</dcterms:created>
  <dcterms:modified xsi:type="dcterms:W3CDTF">2022-11-03T19:54:24Z</dcterms:modified>
</cp:coreProperties>
</file>