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_AQ_Shared\Emissions Inventory\Minor Sources\IAEAP\Calculators_ADACompliant\"/>
    </mc:Choice>
  </mc:AlternateContent>
  <xr:revisionPtr revIDLastSave="0" documentId="8_{14CE934E-B507-43BE-B925-F220F5148F6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Unit Processes" sheetId="2" r:id="rId1"/>
    <sheet name="Permit Limits" sheetId="6" state="hidden" r:id="rId2"/>
    <sheet name="INV-3" sheetId="4" state="hidden" r:id="rId3"/>
    <sheet name="Process Emissions" sheetId="5" r:id="rId4"/>
    <sheet name="Emission Factors" sheetId="7" r:id="rId5"/>
  </sheets>
  <definedNames>
    <definedName name="Diesel">'Unit Processes'!$A$14:$A$15</definedName>
    <definedName name="_xlnm.Print_Area" localSheetId="4">'Emission Factors'!$A$1:$I$11</definedName>
    <definedName name="_xlnm.Print_Area" localSheetId="3">'Process Emissions'!$A$1:$E$98</definedName>
    <definedName name="_xlnm.Print_Area" localSheetId="0">'Unit Processes'!$C$1:$K$14</definedName>
    <definedName name="Processes">'Unit Processes'!$A$13:$A$21</definedName>
  </definedNames>
  <calcPr calcId="191029"/>
</workbook>
</file>

<file path=xl/calcChain.xml><?xml version="1.0" encoding="utf-8"?>
<calcChain xmlns="http://schemas.openxmlformats.org/spreadsheetml/2006/main">
  <c r="C10" i="2" l="1"/>
  <c r="C38" i="2" l="1"/>
  <c r="B37" i="2" l="1"/>
  <c r="F97" i="5" s="1"/>
  <c r="B38" i="2"/>
  <c r="F98" i="5" s="1"/>
  <c r="B33" i="2"/>
  <c r="F85" i="5" s="1"/>
  <c r="B34" i="2"/>
  <c r="F86" i="5" s="1"/>
  <c r="B29" i="2"/>
  <c r="F73" i="5" s="1"/>
  <c r="B30" i="2"/>
  <c r="F74" i="5" s="1"/>
  <c r="B25" i="2"/>
  <c r="F61" i="5" s="1"/>
  <c r="B26" i="2"/>
  <c r="F62" i="5" s="1"/>
  <c r="B21" i="2"/>
  <c r="F49" i="5" s="1"/>
  <c r="B22" i="2"/>
  <c r="F50" i="5" s="1"/>
  <c r="B17" i="2"/>
  <c r="F37" i="5" s="1"/>
  <c r="B18" i="2"/>
  <c r="F38" i="5" s="1"/>
  <c r="B13" i="2"/>
  <c r="F25" i="5" s="1"/>
  <c r="B14" i="2"/>
  <c r="F26" i="5" s="1"/>
  <c r="B9" i="2"/>
  <c r="F13" i="5" s="1"/>
  <c r="B10" i="2"/>
  <c r="F14" i="5" s="1"/>
  <c r="C34" i="2"/>
  <c r="C30" i="2"/>
  <c r="C26" i="2"/>
  <c r="C22" i="2"/>
  <c r="C18" i="2"/>
  <c r="C14" i="2"/>
  <c r="K38" i="2" l="1"/>
  <c r="K34" i="2"/>
  <c r="K30" i="2"/>
  <c r="K26" i="2"/>
  <c r="K22" i="2"/>
  <c r="K18" i="2"/>
  <c r="K14" i="2"/>
  <c r="K10" i="2"/>
  <c r="B56" i="5"/>
  <c r="B55" i="5"/>
  <c r="B54" i="5"/>
  <c r="B68" i="5"/>
  <c r="B67" i="5"/>
  <c r="B66" i="5"/>
  <c r="B44" i="5"/>
  <c r="B43" i="5"/>
  <c r="B42" i="5"/>
  <c r="B32" i="5"/>
  <c r="B31" i="5"/>
  <c r="B30" i="5"/>
  <c r="B92" i="5"/>
  <c r="B91" i="5"/>
  <c r="B90" i="5"/>
  <c r="B80" i="5"/>
  <c r="B79" i="5"/>
  <c r="B78" i="5"/>
  <c r="B8" i="5"/>
  <c r="J38" i="2" l="1"/>
  <c r="I38" i="2"/>
  <c r="H38" i="2"/>
  <c r="K37" i="2"/>
  <c r="J37" i="2"/>
  <c r="I37" i="2"/>
  <c r="H37" i="2"/>
  <c r="F37" i="2"/>
  <c r="B89" i="5" s="1"/>
  <c r="D36" i="2"/>
  <c r="J34" i="2"/>
  <c r="I34" i="2"/>
  <c r="H34" i="2"/>
  <c r="K33" i="2"/>
  <c r="J33" i="2"/>
  <c r="I33" i="2"/>
  <c r="H33" i="2"/>
  <c r="F33" i="2"/>
  <c r="B77" i="5" s="1"/>
  <c r="D32" i="2"/>
  <c r="J30" i="2"/>
  <c r="I30" i="2"/>
  <c r="H30" i="2"/>
  <c r="K29" i="2"/>
  <c r="J29" i="2"/>
  <c r="I29" i="2"/>
  <c r="H29" i="2"/>
  <c r="F29" i="2"/>
  <c r="B65" i="5" s="1"/>
  <c r="D28" i="2"/>
  <c r="J26" i="2"/>
  <c r="I26" i="2"/>
  <c r="H26" i="2"/>
  <c r="K25" i="2"/>
  <c r="J25" i="2"/>
  <c r="I25" i="2"/>
  <c r="H25" i="2"/>
  <c r="F25" i="2"/>
  <c r="B53" i="5" s="1"/>
  <c r="D24" i="2"/>
  <c r="J22" i="2"/>
  <c r="I22" i="2"/>
  <c r="H22" i="2"/>
  <c r="K21" i="2"/>
  <c r="J21" i="2"/>
  <c r="I21" i="2"/>
  <c r="H21" i="2"/>
  <c r="F21" i="2"/>
  <c r="B41" i="5" s="1"/>
  <c r="D20" i="2"/>
  <c r="J14" i="2"/>
  <c r="I14" i="2"/>
  <c r="H14" i="2"/>
  <c r="K13" i="2"/>
  <c r="J13" i="2"/>
  <c r="I13" i="2"/>
  <c r="H13" i="2"/>
  <c r="F13" i="2"/>
  <c r="D12" i="2"/>
  <c r="J18" i="2"/>
  <c r="I18" i="2"/>
  <c r="H18" i="2"/>
  <c r="K17" i="2"/>
  <c r="J17" i="2"/>
  <c r="I17" i="2"/>
  <c r="H17" i="2"/>
  <c r="F17" i="2"/>
  <c r="B29" i="5" s="1"/>
  <c r="D16" i="2"/>
  <c r="D8" i="2"/>
  <c r="F9" i="2"/>
  <c r="I10" i="2"/>
  <c r="K9" i="2"/>
  <c r="J10" i="2"/>
  <c r="J9" i="2"/>
  <c r="H10" i="2"/>
  <c r="H9" i="2"/>
  <c r="I9" i="2"/>
  <c r="B6" i="5"/>
  <c r="D38" i="5" l="1"/>
  <c r="C38" i="5"/>
  <c r="E38" i="5" s="1"/>
  <c r="D98" i="5"/>
  <c r="C98" i="5"/>
  <c r="E98" i="5" s="1"/>
  <c r="B98" i="5"/>
  <c r="C97" i="5"/>
  <c r="E97" i="5" s="1"/>
  <c r="B97" i="5"/>
  <c r="D97" i="5"/>
  <c r="C85" i="5"/>
  <c r="E85" i="5" s="1"/>
  <c r="B85" i="5"/>
  <c r="D85" i="5"/>
  <c r="D86" i="5"/>
  <c r="C86" i="5"/>
  <c r="E86" i="5" s="1"/>
  <c r="B86" i="5"/>
  <c r="B74" i="5"/>
  <c r="D74" i="5"/>
  <c r="C74" i="5"/>
  <c r="E74" i="5" s="1"/>
  <c r="D73" i="5"/>
  <c r="C73" i="5"/>
  <c r="E73" i="5" s="1"/>
  <c r="B73" i="5"/>
  <c r="D62" i="5"/>
  <c r="C62" i="5"/>
  <c r="E62" i="5" s="1"/>
  <c r="B62" i="5"/>
  <c r="B61" i="5"/>
  <c r="C61" i="5"/>
  <c r="E61" i="5" s="1"/>
  <c r="D61" i="5"/>
  <c r="D50" i="5"/>
  <c r="C50" i="5"/>
  <c r="E50" i="5" s="1"/>
  <c r="B50" i="5"/>
  <c r="D49" i="5"/>
  <c r="C49" i="5"/>
  <c r="E49" i="5" s="1"/>
  <c r="B49" i="5"/>
  <c r="B38" i="5"/>
  <c r="B37" i="5"/>
  <c r="D37" i="5"/>
  <c r="C37" i="5"/>
  <c r="E37" i="5" s="1"/>
  <c r="B25" i="5"/>
  <c r="E14" i="4" l="1"/>
  <c r="D6" i="4"/>
  <c r="B7" i="5"/>
  <c r="I13" i="4"/>
  <c r="B19" i="5"/>
  <c r="D33" i="4"/>
  <c r="D30" i="4"/>
  <c r="D4" i="4"/>
  <c r="E19" i="6"/>
  <c r="I19" i="6"/>
  <c r="E18" i="6"/>
  <c r="D25" i="5"/>
  <c r="D32" i="4"/>
  <c r="B18" i="5"/>
  <c r="I43" i="4"/>
  <c r="I42" i="4"/>
  <c r="D7" i="4"/>
  <c r="I15" i="4"/>
  <c r="D31" i="4"/>
  <c r="E25" i="6"/>
  <c r="E26" i="6"/>
  <c r="F7" i="4"/>
  <c r="B14" i="5"/>
  <c r="B20" i="5"/>
  <c r="B26" i="5"/>
  <c r="F33" i="4"/>
  <c r="C25" i="5"/>
  <c r="E25" i="5" s="1"/>
  <c r="I18" i="6"/>
  <c r="B12" i="4" l="1"/>
  <c r="D12" i="4" s="1"/>
  <c r="B13" i="5"/>
  <c r="A48" i="4"/>
  <c r="B49" i="4"/>
  <c r="F49" i="4" s="1"/>
  <c r="J49" i="4" s="1"/>
  <c r="A50" i="4"/>
  <c r="A51" i="4"/>
  <c r="C14" i="4"/>
  <c r="D26" i="5"/>
  <c r="B51" i="4"/>
  <c r="F51" i="4" s="1"/>
  <c r="J51" i="4" s="1"/>
  <c r="D14" i="5"/>
  <c r="A22" i="4"/>
  <c r="C47" i="4"/>
  <c r="C51" i="4"/>
  <c r="D22" i="4"/>
  <c r="B43" i="4"/>
  <c r="F43" i="4" s="1"/>
  <c r="J43" i="4" s="1"/>
  <c r="D51" i="4"/>
  <c r="C26" i="5"/>
  <c r="E26" i="5" s="1"/>
  <c r="D43" i="4"/>
  <c r="A49" i="4"/>
  <c r="D50" i="4"/>
  <c r="B5" i="5"/>
  <c r="B50" i="4"/>
  <c r="F50" i="4" s="1"/>
  <c r="J50" i="4" s="1"/>
  <c r="I49" i="4"/>
  <c r="C50" i="4"/>
  <c r="C49" i="4"/>
  <c r="B47" i="4"/>
  <c r="F47" i="4" s="1"/>
  <c r="J47" i="4" s="1"/>
  <c r="I47" i="4"/>
  <c r="A47" i="4"/>
  <c r="B42" i="4"/>
  <c r="F42" i="4" s="1"/>
  <c r="J42" i="4" s="1"/>
  <c r="D42" i="4"/>
  <c r="B22" i="4"/>
  <c r="F22" i="4" s="1"/>
  <c r="J22" i="4" s="1"/>
  <c r="C13" i="4"/>
  <c r="B38" i="4"/>
  <c r="F38" i="4" s="1"/>
  <c r="B14" i="4"/>
  <c r="I14" i="4" s="1"/>
  <c r="D14" i="4"/>
  <c r="C14" i="5"/>
  <c r="E14" i="5" s="1"/>
  <c r="C13" i="5"/>
  <c r="E13" i="5" s="1"/>
  <c r="C22" i="4"/>
  <c r="D13" i="4"/>
  <c r="B13" i="4"/>
  <c r="F13" i="4" s="1"/>
  <c r="J13" i="4" s="1"/>
  <c r="C43" i="4"/>
  <c r="D13" i="5"/>
  <c r="D47" i="4"/>
  <c r="B17" i="5"/>
  <c r="C42" i="4"/>
  <c r="B21" i="4"/>
  <c r="F21" i="4" s="1"/>
  <c r="J21" i="4" s="1"/>
  <c r="D15" i="4"/>
  <c r="C15" i="4"/>
  <c r="B48" i="4"/>
  <c r="F48" i="4" s="1"/>
  <c r="J48" i="4" s="1"/>
  <c r="I48" i="4"/>
  <c r="C48" i="4"/>
  <c r="D21" i="4"/>
  <c r="D48" i="4"/>
  <c r="C21" i="4"/>
  <c r="A21" i="4"/>
  <c r="D5" i="4"/>
  <c r="B15" i="4"/>
  <c r="F15" i="4" s="1"/>
  <c r="J15" i="4" s="1"/>
  <c r="D49" i="4"/>
  <c r="F14" i="4" l="1"/>
  <c r="C12" i="4"/>
  <c r="F12" i="4"/>
  <c r="J12" i="4" s="1"/>
  <c r="J14" i="4"/>
  <c r="D38" i="4"/>
  <c r="C38" i="4"/>
  <c r="J38" i="4"/>
</calcChain>
</file>

<file path=xl/sharedStrings.xml><?xml version="1.0" encoding="utf-8"?>
<sst xmlns="http://schemas.openxmlformats.org/spreadsheetml/2006/main" count="422" uniqueCount="143">
  <si>
    <t>Emission Year:</t>
  </si>
  <si>
    <t>Facility Name:</t>
  </si>
  <si>
    <t>12)  Maximum Hourly Design Rate</t>
  </si>
  <si>
    <t>Per Hour</t>
  </si>
  <si>
    <t>POTENTIAL EMISSIONS</t>
  </si>
  <si>
    <t>Air Pollutant</t>
  </si>
  <si>
    <t>Emission Factor</t>
  </si>
  <si>
    <t>Emission Factor Units</t>
  </si>
  <si>
    <t>Source of Emission Factor</t>
  </si>
  <si>
    <t>Ash or Sulfur %</t>
  </si>
  <si>
    <t>Potential Hourly Uncontrolled Emissions (lb/hr)</t>
  </si>
  <si>
    <t>Combined Control Efficiency</t>
  </si>
  <si>
    <t>Transfer Efficiency</t>
  </si>
  <si>
    <t>Potential Hourly Controlled Emissions (lb/hr)</t>
  </si>
  <si>
    <t>Potential Annual Emission (ton/yr)</t>
  </si>
  <si>
    <t>PM-2.5</t>
  </si>
  <si>
    <t>PM-10</t>
  </si>
  <si>
    <t>SO2</t>
  </si>
  <si>
    <t>NOx</t>
  </si>
  <si>
    <t>VOC</t>
  </si>
  <si>
    <t>CO</t>
  </si>
  <si>
    <t>Lead</t>
  </si>
  <si>
    <t>Ammonia</t>
  </si>
  <si>
    <t>POTENTIAL EMISSIONS - Individual HAPs and additional regulated air pollutants - list the name in Column 14</t>
  </si>
  <si>
    <t>Permit Limits</t>
  </si>
  <si>
    <t>lb/hr</t>
  </si>
  <si>
    <t>ton/yr</t>
  </si>
  <si>
    <t>PM10</t>
  </si>
  <si>
    <t>Sulfur Dioxides (SO2)</t>
  </si>
  <si>
    <t>Volatile Organic Compounds (VOC)</t>
  </si>
  <si>
    <t>Carbon Monoxide (CO)</t>
  </si>
  <si>
    <t>Lead (Pb)</t>
  </si>
  <si>
    <t>Single Hazardous Air Pollutant (HAP)</t>
  </si>
  <si>
    <t>Total Hazardous Air Pollutant (HAP)</t>
  </si>
  <si>
    <t>Nitrogen Oxides (NOx)</t>
  </si>
  <si>
    <t>Hours of Operation Limit</t>
  </si>
  <si>
    <t>Hours/Yr</t>
  </si>
  <si>
    <r>
      <t xml:space="preserve">Operating Limits (found in the section titled Operating Limits) - </t>
    </r>
    <r>
      <rPr>
        <b/>
        <sz val="10"/>
        <color indexed="48"/>
        <rFont val="Arial"/>
        <family val="2"/>
      </rPr>
      <t>Leave Blank if Not Applicable</t>
    </r>
  </si>
  <si>
    <r>
      <t xml:space="preserve">Emission Limits (found in the section titled Emission Limits) - </t>
    </r>
    <r>
      <rPr>
        <b/>
        <sz val="10"/>
        <color indexed="48"/>
        <rFont val="Arial"/>
        <family val="2"/>
      </rPr>
      <t>Leave Blank if Not Applicable</t>
    </r>
  </si>
  <si>
    <t>Note: If you have an hrs/day limit multipy by 365 to get hrs/yr</t>
  </si>
  <si>
    <t>Permit Number (s)</t>
  </si>
  <si>
    <t>PM2.5</t>
  </si>
  <si>
    <t>4)    SCC Number</t>
  </si>
  <si>
    <t>5)    Description of the Process</t>
  </si>
  <si>
    <t>9)    Raw Material - OR Fuels Used</t>
  </si>
  <si>
    <t>Maximum Hourly Usage Rate</t>
  </si>
  <si>
    <t>SCC No.</t>
  </si>
  <si>
    <t>Process</t>
  </si>
  <si>
    <t>Units</t>
  </si>
  <si>
    <t>PM 2.5</t>
  </si>
  <si>
    <t>Source</t>
  </si>
  <si>
    <t>PM 10</t>
  </si>
  <si>
    <t>SCC #</t>
  </si>
  <si>
    <t>Pollutant</t>
  </si>
  <si>
    <t>EF Units</t>
  </si>
  <si>
    <t>MMBtu</t>
  </si>
  <si>
    <t>%</t>
  </si>
  <si>
    <t>Percent Sulfur Content Limit</t>
  </si>
  <si>
    <t>gallons</t>
  </si>
  <si>
    <t>1000 gallons</t>
  </si>
  <si>
    <t>1 gal = 0.001 1000 gal</t>
  </si>
  <si>
    <t>1 gal = 0.140 MMBtu</t>
  </si>
  <si>
    <t xml:space="preserve"> </t>
  </si>
  <si>
    <t>Conversion Table</t>
  </si>
  <si>
    <t>Diesel Fuel:</t>
  </si>
  <si>
    <t>All Fuels:</t>
  </si>
  <si>
    <t>Form INV-3 EMISSION UNIT DESCRIPTION - POTENTIAL EMISSIONS</t>
  </si>
  <si>
    <t>Note: Dual Fuel Generators will need to complete an INV-3 form for Diesel Fuel Combustion and Dual Fuel Combustion</t>
  </si>
  <si>
    <t>Natural Gas Usage Limit</t>
  </si>
  <si>
    <t>Diesel Fuel Usage Limit</t>
  </si>
  <si>
    <t>Gallons/Yr</t>
  </si>
  <si>
    <t>Cubic Ft/Yr</t>
  </si>
  <si>
    <t>Annual Fuel Usage Limit</t>
  </si>
  <si>
    <t>MMBtu/Yr</t>
  </si>
  <si>
    <t>MMBtu/yr</t>
  </si>
  <si>
    <t>Diesel Combustion:</t>
  </si>
  <si>
    <t>Dual Fuel Combustion:</t>
  </si>
  <si>
    <t>=</t>
  </si>
  <si>
    <t>Limits Used to Calculate Potential Emissions:</t>
  </si>
  <si>
    <t xml:space="preserve">    95% Natural Gas 5% Diesel</t>
  </si>
  <si>
    <t>Note: Applicable pollutants: PM2.5, VOC, CO, Benzene, Formaldehyde, Toluene, Naphthalene and Xylene (these emission factors are higher for dual fuel combustion when compared to diesel fuel combustion).</t>
  </si>
  <si>
    <t>Note: Applicable pollutants: PM10, SO2, Nox, Acetaldehyde and Acrolein (these emission factors are higher for internal diesel combustion when compared to dual fuel combustion).</t>
  </si>
  <si>
    <t>If your facility has a facility-wide tons/yr limit, to avoid over-estimating facility-wide potential emissions be sure to only enter the limit on one INV-3 Form (tons/yr column).</t>
  </si>
  <si>
    <t>MMBtu/Hr</t>
  </si>
  <si>
    <t>Please Note: IAC rule 23.3(3)"b" limits sulfur content in #1 and #2 fuel oil to 0.5%.</t>
  </si>
  <si>
    <t>Calc Method</t>
  </si>
  <si>
    <t>28-USEPA EF (pre-control)</t>
  </si>
  <si>
    <t>Calculation Method</t>
  </si>
  <si>
    <t xml:space="preserve">Please fill in the yellow boxes. Once complete, click to the Process Emissions tab below. </t>
  </si>
  <si>
    <t>Information on this page should be referenced as you enter data into the Process Emissions section of SLEIS.</t>
  </si>
  <si>
    <t>Process Emissions</t>
  </si>
  <si>
    <t>SLEIS PROCESS TAB</t>
  </si>
  <si>
    <t>SCC Number</t>
  </si>
  <si>
    <t>Description of Process</t>
  </si>
  <si>
    <t>Actual Throughput -  Annual Total</t>
  </si>
  <si>
    <t>Throughput Unit of Measure</t>
  </si>
  <si>
    <t>Throughput Material</t>
  </si>
  <si>
    <t>SLEIS EMISSIONS TAB</t>
  </si>
  <si>
    <t>Pollutant Code:</t>
  </si>
  <si>
    <t>PM25-PRI-PM2.5 Primary (Filt + Cond)</t>
  </si>
  <si>
    <t>PM10-PRI-PM10 Primary (Filt + Cond)</t>
  </si>
  <si>
    <t>Emission Factor (lbs/unit)</t>
  </si>
  <si>
    <t>Estimated Emissions (Tons/Yr)</t>
  </si>
  <si>
    <t>Grain Receiving</t>
  </si>
  <si>
    <t>Grain Handling</t>
  </si>
  <si>
    <t>Mixer</t>
  </si>
  <si>
    <t>Roller Mill</t>
  </si>
  <si>
    <t>Hammer Mill</t>
  </si>
  <si>
    <t>Feed Loadout</t>
  </si>
  <si>
    <t>Storage Bins</t>
  </si>
  <si>
    <t>Prepared Feed Manufacturing (Feed Mill)</t>
  </si>
  <si>
    <t>Grain Cleaning</t>
  </si>
  <si>
    <t>AP-42 Table9.9.1-2</t>
  </si>
  <si>
    <t>AP-42 Table 9.9.1-2</t>
  </si>
  <si>
    <t>AP-42 Table 9.9.1-1</t>
  </si>
  <si>
    <t>AP-42 Table9.9.1-1</t>
  </si>
  <si>
    <t>TONS</t>
  </si>
  <si>
    <r>
      <t xml:space="preserve">Units </t>
    </r>
    <r>
      <rPr>
        <b/>
        <sz val="8"/>
        <rFont val="Times New Roman"/>
        <family val="1"/>
      </rPr>
      <t>(LB/UNIT)</t>
    </r>
  </si>
  <si>
    <t>100 - Feed</t>
  </si>
  <si>
    <t>Units per Year</t>
  </si>
  <si>
    <t>ton - tons</t>
  </si>
  <si>
    <t>Pellet Cooler (Cyclone)</t>
  </si>
  <si>
    <t>Pellet Cooler (High Efficiency Cyclone)</t>
  </si>
  <si>
    <r>
      <t xml:space="preserve">Process - </t>
    </r>
    <r>
      <rPr>
        <b/>
        <sz val="8"/>
        <rFont val="Times New Roman"/>
        <family val="1"/>
      </rPr>
      <t>(Select a process you want to include in your emissions inventory from the drop down list)</t>
    </r>
  </si>
  <si>
    <t>Control Device or Practice</t>
  </si>
  <si>
    <t>PM</t>
  </si>
  <si>
    <t>* Low, medium, and high efficiency cyclones will be defined based on pressure drop.  The ranges of pressure drops are as follows:</t>
  </si>
  <si>
    <t>Low-efficiency cyclones</t>
  </si>
  <si>
    <t>2-4 inches water</t>
  </si>
  <si>
    <t>Medium-efficiency cyclones</t>
  </si>
  <si>
    <t>4-6 inches water</t>
  </si>
  <si>
    <t>High-efficiency cyclones</t>
  </si>
  <si>
    <t>8-10 inches water</t>
  </si>
  <si>
    <r>
      <t>PM</t>
    </r>
    <r>
      <rPr>
        <b/>
        <vertAlign val="subscript"/>
        <sz val="9"/>
        <rFont val="Times New Roman"/>
        <family val="1"/>
      </rPr>
      <t>10</t>
    </r>
  </si>
  <si>
    <r>
      <t>PM</t>
    </r>
    <r>
      <rPr>
        <b/>
        <vertAlign val="subscript"/>
        <sz val="9"/>
        <rFont val="Times New Roman"/>
        <family val="1"/>
      </rPr>
      <t>2.5</t>
    </r>
  </si>
  <si>
    <t xml:space="preserve">              Control Efficiency (%)</t>
  </si>
  <si>
    <t xml:space="preserve">Note: a control efficiency reference table can be found at the bottom of this tab. </t>
  </si>
  <si>
    <t>1-Cyclone-high efficiency</t>
  </si>
  <si>
    <t>2-Cyclone-med efficiency</t>
  </si>
  <si>
    <t>3-Cyclone-low efficiency</t>
  </si>
  <si>
    <t>4-Fabric Filter</t>
  </si>
  <si>
    <t>Combined Control Effiency (%)</t>
  </si>
  <si>
    <t>Updated: 12-27-23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</si>
</sst>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40" x14ac:knownFonts="1">
    <font>
      <sz val="10"/>
      <name val="Arial"/>
    </font>
    <font>
      <sz val="9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sz val="10"/>
      <color indexed="12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7"/>
      <color indexed="12"/>
      <name val="Times New Roman"/>
      <family val="1"/>
    </font>
    <font>
      <sz val="7"/>
      <name val="Arial"/>
      <family val="2"/>
    </font>
    <font>
      <sz val="7"/>
      <color indexed="12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9"/>
      <color rgb="FF0000FF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1"/>
      <color indexed="12"/>
      <name val="Times New Roman"/>
      <family val="1"/>
    </font>
    <font>
      <sz val="12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12"/>
      <name val="Times New Roman"/>
      <family val="1"/>
    </font>
    <font>
      <sz val="8"/>
      <color indexed="12"/>
      <name val="Times New Roman"/>
      <family val="1"/>
    </font>
    <font>
      <sz val="9"/>
      <color indexed="12"/>
      <name val="Times New Roman"/>
      <family val="1"/>
    </font>
    <font>
      <sz val="7"/>
      <name val="Times New Roman"/>
      <family val="1"/>
    </font>
    <font>
      <b/>
      <vertAlign val="subscript"/>
      <sz val="9"/>
      <name val="Times New Roman"/>
      <family val="1"/>
    </font>
    <font>
      <i/>
      <sz val="9"/>
      <name val="Times New Roman"/>
      <family val="1"/>
    </font>
    <font>
      <b/>
      <sz val="9"/>
      <color theme="5"/>
      <name val="Times New Roman"/>
      <family val="1"/>
    </font>
    <font>
      <sz val="8"/>
      <color theme="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/>
    <xf numFmtId="0" fontId="0" fillId="0" borderId="2" xfId="0" applyBorder="1" applyAlignment="1"/>
    <xf numFmtId="0" fontId="8" fillId="0" borderId="2" xfId="0" applyFont="1" applyBorder="1" applyAlignment="1"/>
    <xf numFmtId="2" fontId="1" fillId="0" borderId="2" xfId="0" applyNumberFormat="1" applyFont="1" applyBorder="1" applyAlignment="1">
      <alignment horizontal="center"/>
    </xf>
    <xf numFmtId="0" fontId="0" fillId="0" borderId="1" xfId="0" applyBorder="1" applyProtection="1"/>
    <xf numFmtId="0" fontId="6" fillId="0" borderId="0" xfId="0" applyFont="1" applyProtection="1"/>
    <xf numFmtId="0" fontId="0" fillId="0" borderId="0" xfId="0" applyProtection="1"/>
    <xf numFmtId="0" fontId="4" fillId="0" borderId="0" xfId="0" applyFont="1" applyProtection="1"/>
    <xf numFmtId="0" fontId="0" fillId="0" borderId="1" xfId="0" applyBorder="1" applyAlignment="1" applyProtection="1">
      <alignment horizontal="center"/>
    </xf>
    <xf numFmtId="0" fontId="9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Fill="1" applyProtection="1"/>
    <xf numFmtId="0" fontId="4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/>
    </xf>
    <xf numFmtId="0" fontId="4" fillId="0" borderId="0" xfId="0" applyFont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/>
    <xf numFmtId="2" fontId="16" fillId="0" borderId="1" xfId="0" applyNumberFormat="1" applyFont="1" applyBorder="1" applyAlignment="1">
      <alignment horizontal="center"/>
    </xf>
    <xf numFmtId="0" fontId="18" fillId="3" borderId="1" xfId="0" applyFont="1" applyFill="1" applyBorder="1" applyAlignment="1" applyProtection="1">
      <alignment horizontal="center"/>
      <protection locked="0"/>
    </xf>
    <xf numFmtId="0" fontId="13" fillId="0" borderId="1" xfId="0" applyFont="1" applyBorder="1" applyProtection="1"/>
    <xf numFmtId="2" fontId="16" fillId="0" borderId="1" xfId="0" applyNumberFormat="1" applyFont="1" applyBorder="1"/>
    <xf numFmtId="0" fontId="12" fillId="0" borderId="0" xfId="0" applyFont="1" applyProtection="1"/>
    <xf numFmtId="0" fontId="11" fillId="0" borderId="0" xfId="0" applyFont="1" applyAlignment="1" applyProtection="1">
      <alignment horizontal="center"/>
    </xf>
    <xf numFmtId="0" fontId="18" fillId="0" borderId="1" xfId="0" applyFont="1" applyBorder="1" applyAlignment="1" applyProtection="1">
      <alignment horizontal="center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2" fontId="16" fillId="0" borderId="1" xfId="0" applyNumberFormat="1" applyFont="1" applyFill="1" applyBorder="1" applyAlignment="1">
      <alignment horizontal="center"/>
    </xf>
    <xf numFmtId="0" fontId="11" fillId="0" borderId="0" xfId="0" applyFont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" fillId="0" borderId="0" xfId="0" applyFont="1" applyProtection="1"/>
    <xf numFmtId="0" fontId="0" fillId="3" borderId="1" xfId="0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</xf>
    <xf numFmtId="0" fontId="12" fillId="4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12" fillId="0" borderId="0" xfId="0" applyFont="1" applyFill="1" applyAlignment="1" applyProtection="1">
      <alignment horizontal="left"/>
    </xf>
    <xf numFmtId="164" fontId="12" fillId="0" borderId="1" xfId="0" applyNumberFormat="1" applyFont="1" applyBorder="1" applyAlignment="1" applyProtection="1">
      <alignment horizontal="center"/>
    </xf>
    <xf numFmtId="0" fontId="19" fillId="0" borderId="0" xfId="0" applyFont="1" applyProtection="1"/>
    <xf numFmtId="0" fontId="4" fillId="0" borderId="0" xfId="0" applyFont="1" applyFill="1" applyBorder="1" applyProtection="1"/>
    <xf numFmtId="0" fontId="11" fillId="0" borderId="3" xfId="0" applyFont="1" applyBorder="1" applyAlignment="1" applyProtection="1"/>
    <xf numFmtId="0" fontId="20" fillId="0" borderId="1" xfId="0" applyFont="1" applyBorder="1" applyAlignment="1" applyProtection="1">
      <alignment horizontal="center"/>
    </xf>
    <xf numFmtId="0" fontId="21" fillId="0" borderId="1" xfId="0" applyFont="1" applyBorder="1" applyAlignment="1">
      <alignment horizontal="center"/>
    </xf>
    <xf numFmtId="165" fontId="0" fillId="0" borderId="0" xfId="0" applyNumberFormat="1" applyAlignment="1" applyProtection="1">
      <alignment horizontal="center"/>
    </xf>
    <xf numFmtId="0" fontId="22" fillId="0" borderId="0" xfId="0" applyFont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/>
    <xf numFmtId="0" fontId="20" fillId="0" borderId="0" xfId="0" applyFont="1" applyFill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left"/>
    </xf>
    <xf numFmtId="0" fontId="25" fillId="0" borderId="0" xfId="0" applyFont="1"/>
    <xf numFmtId="0" fontId="26" fillId="0" borderId="1" xfId="0" applyFont="1" applyBorder="1" applyAlignment="1">
      <alignment horizontal="center" wrapText="1"/>
    </xf>
    <xf numFmtId="0" fontId="13" fillId="0" borderId="1" xfId="0" applyFont="1" applyBorder="1" applyAlignment="1" applyProtection="1">
      <alignment horizontal="center"/>
    </xf>
    <xf numFmtId="0" fontId="16" fillId="6" borderId="1" xfId="0" applyFont="1" applyFill="1" applyBorder="1"/>
    <xf numFmtId="2" fontId="0" fillId="3" borderId="1" xfId="0" applyNumberFormat="1" applyFill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27" fillId="0" borderId="7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/>
    </xf>
    <xf numFmtId="0" fontId="18" fillId="0" borderId="1" xfId="0" applyFont="1" applyBorder="1" applyAlignment="1" applyProtection="1">
      <alignment horizontal="center" wrapText="1"/>
    </xf>
    <xf numFmtId="0" fontId="1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3" fillId="0" borderId="0" xfId="0" applyFont="1" applyAlignment="1" applyProtection="1"/>
    <xf numFmtId="0" fontId="0" fillId="0" borderId="0" xfId="0" applyAlignment="1" applyProtection="1"/>
    <xf numFmtId="0" fontId="12" fillId="0" borderId="0" xfId="0" applyFont="1" applyAlignment="1" applyProtection="1">
      <alignment horizontal="center"/>
    </xf>
    <xf numFmtId="0" fontId="28" fillId="0" borderId="0" xfId="0" applyFont="1" applyBorder="1" applyAlignment="1"/>
    <xf numFmtId="0" fontId="12" fillId="0" borderId="0" xfId="0" applyFont="1"/>
    <xf numFmtId="0" fontId="2" fillId="3" borderId="1" xfId="0" applyFont="1" applyFill="1" applyBorder="1" applyAlignment="1" applyProtection="1">
      <alignment horizontal="left"/>
    </xf>
    <xf numFmtId="0" fontId="12" fillId="3" borderId="1" xfId="0" applyFont="1" applyFill="1" applyBorder="1" applyAlignment="1" applyProtection="1">
      <alignment horizontal="left"/>
    </xf>
    <xf numFmtId="0" fontId="29" fillId="7" borderId="0" xfId="0" applyFont="1" applyFill="1" applyBorder="1" applyAlignment="1" applyProtection="1">
      <alignment horizontal="left"/>
    </xf>
    <xf numFmtId="0" fontId="30" fillId="0" borderId="0" xfId="0" applyFont="1" applyBorder="1" applyAlignment="1"/>
    <xf numFmtId="0" fontId="12" fillId="0" borderId="0" xfId="0" applyFont="1" applyBorder="1"/>
    <xf numFmtId="0" fontId="11" fillId="0" borderId="1" xfId="0" applyFont="1" applyBorder="1" applyAlignment="1"/>
    <xf numFmtId="0" fontId="27" fillId="0" borderId="0" xfId="0" applyFont="1" applyBorder="1" applyAlignment="1"/>
    <xf numFmtId="0" fontId="31" fillId="0" borderId="0" xfId="0" applyFont="1" applyBorder="1" applyAlignment="1">
      <alignment horizontal="left"/>
    </xf>
    <xf numFmtId="0" fontId="11" fillId="0" borderId="4" xfId="0" applyFont="1" applyBorder="1" applyAlignment="1"/>
    <xf numFmtId="0" fontId="12" fillId="0" borderId="0" xfId="0" applyFont="1" applyBorder="1" applyAlignment="1"/>
    <xf numFmtId="0" fontId="31" fillId="0" borderId="0" xfId="0" applyFont="1" applyBorder="1" applyAlignment="1"/>
    <xf numFmtId="0" fontId="11" fillId="0" borderId="12" xfId="0" applyFont="1" applyBorder="1" applyAlignment="1"/>
    <xf numFmtId="0" fontId="32" fillId="0" borderId="0" xfId="0" applyFont="1" applyBorder="1" applyAlignment="1"/>
    <xf numFmtId="0" fontId="31" fillId="0" borderId="0" xfId="0" applyNumberFormat="1" applyFont="1" applyBorder="1" applyAlignment="1">
      <alignment horizontal="left"/>
    </xf>
    <xf numFmtId="2" fontId="20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3" fillId="0" borderId="1" xfId="0" applyFont="1" applyBorder="1" applyAlignment="1" applyProtection="1">
      <alignment horizontal="center" wrapText="1"/>
    </xf>
    <xf numFmtId="0" fontId="33" fillId="0" borderId="1" xfId="0" applyNumberFormat="1" applyFont="1" applyBorder="1" applyAlignment="1">
      <alignment horizontal="center" wrapText="1"/>
    </xf>
    <xf numFmtId="0" fontId="18" fillId="0" borderId="1" xfId="0" applyNumberFormat="1" applyFont="1" applyBorder="1" applyAlignment="1">
      <alignment horizontal="center"/>
    </xf>
    <xf numFmtId="0" fontId="31" fillId="0" borderId="0" xfId="0" applyNumberFormat="1" applyFont="1" applyBorder="1" applyAlignment="1"/>
    <xf numFmtId="0" fontId="27" fillId="0" borderId="5" xfId="0" applyFont="1" applyBorder="1" applyAlignment="1"/>
    <xf numFmtId="0" fontId="29" fillId="7" borderId="7" xfId="0" applyFont="1" applyFill="1" applyBorder="1" applyAlignment="1" applyProtection="1">
      <alignment horizontal="left"/>
    </xf>
    <xf numFmtId="0" fontId="27" fillId="0" borderId="7" xfId="0" applyFont="1" applyBorder="1" applyAlignment="1"/>
    <xf numFmtId="0" fontId="3" fillId="0" borderId="4" xfId="0" applyFont="1" applyBorder="1" applyAlignment="1">
      <alignment horizontal="center" wrapText="1"/>
    </xf>
    <xf numFmtId="0" fontId="34" fillId="0" borderId="1" xfId="0" applyFont="1" applyBorder="1" applyAlignment="1">
      <alignment horizontal="center"/>
    </xf>
    <xf numFmtId="0" fontId="28" fillId="0" borderId="0" xfId="0" applyFont="1" applyProtection="1"/>
    <xf numFmtId="0" fontId="11" fillId="0" borderId="3" xfId="0" applyFont="1" applyBorder="1" applyProtection="1"/>
    <xf numFmtId="0" fontId="11" fillId="3" borderId="3" xfId="0" applyFont="1" applyFill="1" applyBorder="1" applyAlignment="1" applyProtection="1">
      <protection locked="0"/>
    </xf>
    <xf numFmtId="0" fontId="11" fillId="3" borderId="2" xfId="0" applyFont="1" applyFill="1" applyBorder="1" applyAlignment="1" applyProtection="1">
      <protection locked="0"/>
    </xf>
    <xf numFmtId="0" fontId="12" fillId="3" borderId="2" xfId="0" applyFont="1" applyFill="1" applyBorder="1" applyAlignment="1" applyProtection="1">
      <protection locked="0"/>
    </xf>
    <xf numFmtId="0" fontId="12" fillId="3" borderId="6" xfId="0" applyFont="1" applyFill="1" applyBorder="1" applyAlignment="1" applyProtection="1">
      <protection locked="0"/>
    </xf>
    <xf numFmtId="0" fontId="12" fillId="5" borderId="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/>
    <xf numFmtId="0" fontId="12" fillId="0" borderId="0" xfId="0" applyFont="1" applyFill="1" applyProtection="1"/>
    <xf numFmtId="0" fontId="12" fillId="0" borderId="0" xfId="0" applyFont="1" applyFill="1" applyBorder="1" applyProtection="1"/>
    <xf numFmtId="0" fontId="20" fillId="0" borderId="0" xfId="0" applyFont="1" applyProtection="1"/>
    <xf numFmtId="0" fontId="12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12" fillId="0" borderId="0" xfId="0" applyFont="1" applyBorder="1" applyProtection="1"/>
    <xf numFmtId="0" fontId="1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3" fillId="0" borderId="0" xfId="0" applyFont="1" applyBorder="1" applyAlignment="1" applyProtection="1">
      <alignment horizontal="center" wrapText="1"/>
    </xf>
    <xf numFmtId="0" fontId="33" fillId="0" borderId="0" xfId="0" applyNumberFormat="1" applyFont="1" applyBorder="1" applyAlignment="1">
      <alignment horizontal="center" wrapText="1"/>
    </xf>
    <xf numFmtId="0" fontId="18" fillId="0" borderId="0" xfId="0" applyNumberFormat="1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0" fontId="12" fillId="0" borderId="13" xfId="0" applyFont="1" applyBorder="1"/>
    <xf numFmtId="0" fontId="33" fillId="0" borderId="14" xfId="0" applyFont="1" applyBorder="1" applyAlignment="1" applyProtection="1">
      <alignment horizontal="center" wrapText="1"/>
    </xf>
    <xf numFmtId="0" fontId="33" fillId="0" borderId="14" xfId="0" applyNumberFormat="1" applyFont="1" applyBorder="1" applyAlignment="1">
      <alignment horizontal="center" wrapText="1"/>
    </xf>
    <xf numFmtId="0" fontId="18" fillId="0" borderId="14" xfId="0" applyNumberFormat="1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165" fontId="18" fillId="0" borderId="14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3" borderId="1" xfId="0" applyFont="1" applyFill="1" applyBorder="1" applyAlignment="1" applyProtection="1">
      <alignment horizontal="center"/>
    </xf>
    <xf numFmtId="0" fontId="29" fillId="0" borderId="0" xfId="0" applyFont="1" applyFill="1" applyBorder="1" applyAlignment="1" applyProtection="1">
      <alignment horizontal="center"/>
    </xf>
    <xf numFmtId="0" fontId="31" fillId="0" borderId="1" xfId="0" applyFont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31" fillId="0" borderId="1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0" xfId="0" applyFont="1" applyFill="1" applyBorder="1" applyAlignment="1" applyProtection="1"/>
    <xf numFmtId="0" fontId="20" fillId="3" borderId="1" xfId="0" applyFont="1" applyFill="1" applyBorder="1" applyAlignment="1" applyProtection="1"/>
    <xf numFmtId="0" fontId="20" fillId="3" borderId="3" xfId="0" applyFont="1" applyFill="1" applyBorder="1" applyAlignment="1" applyProtection="1"/>
    <xf numFmtId="0" fontId="27" fillId="0" borderId="15" xfId="0" applyFont="1" applyBorder="1"/>
    <xf numFmtId="0" fontId="27" fillId="0" borderId="16" xfId="0" applyFont="1" applyBorder="1"/>
    <xf numFmtId="0" fontId="27" fillId="0" borderId="17" xfId="0" applyFont="1" applyBorder="1"/>
    <xf numFmtId="0" fontId="27" fillId="0" borderId="18" xfId="0" applyFont="1" applyBorder="1"/>
    <xf numFmtId="0" fontId="20" fillId="0" borderId="15" xfId="0" applyFont="1" applyBorder="1"/>
    <xf numFmtId="0" fontId="20" fillId="0" borderId="18" xfId="0" applyFont="1" applyBorder="1"/>
    <xf numFmtId="0" fontId="20" fillId="0" borderId="20" xfId="0" applyFont="1" applyBorder="1"/>
    <xf numFmtId="0" fontId="37" fillId="0" borderId="0" xfId="0" applyFont="1"/>
    <xf numFmtId="0" fontId="20" fillId="0" borderId="0" xfId="0" applyFont="1"/>
    <xf numFmtId="0" fontId="27" fillId="0" borderId="15" xfId="0" applyFont="1" applyBorder="1" applyAlignment="1">
      <alignment horizontal="left"/>
    </xf>
    <xf numFmtId="0" fontId="27" fillId="0" borderId="18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165" fontId="18" fillId="0" borderId="22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2" fontId="33" fillId="5" borderId="1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horizontal="center"/>
    </xf>
    <xf numFmtId="0" fontId="35" fillId="0" borderId="1" xfId="0" applyFont="1" applyBorder="1" applyAlignment="1" applyProtection="1">
      <alignment horizontal="center" wrapText="1"/>
    </xf>
    <xf numFmtId="0" fontId="35" fillId="0" borderId="1" xfId="0" applyFont="1" applyBorder="1" applyAlignment="1" applyProtection="1">
      <alignment horizontal="center"/>
    </xf>
    <xf numFmtId="0" fontId="38" fillId="0" borderId="0" xfId="0" applyFont="1" applyProtection="1"/>
    <xf numFmtId="0" fontId="38" fillId="0" borderId="0" xfId="0" applyFont="1" applyAlignment="1" applyProtection="1">
      <alignment horizontal="center"/>
    </xf>
    <xf numFmtId="0" fontId="39" fillId="0" borderId="0" xfId="0" applyFont="1" applyBorder="1" applyAlignment="1" applyProtection="1">
      <alignment horizontal="right" wrapText="1"/>
    </xf>
    <xf numFmtId="0" fontId="0" fillId="3" borderId="3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6" xfId="0" applyFill="1" applyBorder="1" applyAlignment="1" applyProtection="1">
      <protection locked="0"/>
    </xf>
    <xf numFmtId="0" fontId="13" fillId="0" borderId="0" xfId="0" applyFont="1" applyAlignment="1" applyProtection="1">
      <alignment horizontal="left" wrapText="1"/>
    </xf>
    <xf numFmtId="0" fontId="6" fillId="0" borderId="7" xfId="0" applyFont="1" applyBorder="1" applyAlignment="1">
      <alignment horizontal="left"/>
    </xf>
    <xf numFmtId="0" fontId="8" fillId="0" borderId="10" xfId="0" applyFont="1" applyBorder="1" applyAlignment="1"/>
    <xf numFmtId="0" fontId="8" fillId="0" borderId="11" xfId="0" applyFont="1" applyBorder="1" applyAlignment="1"/>
    <xf numFmtId="0" fontId="8" fillId="0" borderId="8" xfId="0" applyFont="1" applyBorder="1" applyAlignment="1"/>
    <xf numFmtId="165" fontId="14" fillId="0" borderId="10" xfId="0" applyNumberFormat="1" applyFont="1" applyBorder="1" applyAlignment="1">
      <alignment horizontal="center"/>
    </xf>
    <xf numFmtId="165" fontId="15" fillId="0" borderId="8" xfId="0" applyNumberFormat="1" applyFont="1" applyBorder="1" applyAlignment="1"/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8" fillId="0" borderId="3" xfId="0" applyFont="1" applyBorder="1" applyAlignment="1"/>
    <xf numFmtId="0" fontId="8" fillId="0" borderId="2" xfId="0" applyFont="1" applyBorder="1" applyAlignment="1"/>
    <xf numFmtId="0" fontId="8" fillId="0" borderId="6" xfId="0" applyFont="1" applyBorder="1" applyAlignment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/>
    <xf numFmtId="0" fontId="14" fillId="0" borderId="3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0" borderId="0" xfId="0" applyFont="1" applyBorder="1" applyAlignment="1"/>
    <xf numFmtId="0" fontId="24" fillId="0" borderId="0" xfId="0" applyFont="1" applyBorder="1" applyAlignment="1"/>
  </cellXfs>
  <cellStyles count="1">
    <cellStyle name="Normal" xfId="0" builtinId="0"/>
  </cellStyles>
  <dxfs count="9"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topLeftCell="C1" zoomScale="115" workbookViewId="0">
      <selection activeCell="C1" sqref="C1"/>
    </sheetView>
  </sheetViews>
  <sheetFormatPr defaultColWidth="9.140625" defaultRowHeight="12.75" x14ac:dyDescent="0.2"/>
  <cols>
    <col min="1" max="1" width="16.5703125" style="29" hidden="1" customWidth="1"/>
    <col min="2" max="2" width="7.28515625" hidden="1" customWidth="1"/>
    <col min="3" max="3" width="34.28515625" style="29" customWidth="1"/>
    <col min="4" max="4" width="11.28515625" style="29" customWidth="1"/>
    <col min="5" max="5" width="15.5703125" style="29" customWidth="1"/>
    <col min="6" max="6" width="8.28515625" style="29" customWidth="1"/>
    <col min="7" max="7" width="10.42578125" style="29" customWidth="1"/>
    <col min="8" max="8" width="9.5703125" style="29" customWidth="1"/>
    <col min="9" max="9" width="9.85546875" style="29" customWidth="1"/>
    <col min="10" max="10" width="14.7109375" style="29" customWidth="1"/>
    <col min="11" max="11" width="17.42578125" style="72" customWidth="1"/>
    <col min="12" max="12" width="17.7109375" style="29" customWidth="1"/>
    <col min="13" max="13" width="16.7109375" style="29" customWidth="1"/>
    <col min="14" max="14" width="11" style="29" bestFit="1" customWidth="1"/>
    <col min="15" max="15" width="9.140625" style="72"/>
    <col min="16" max="16" width="9.7109375" style="72" customWidth="1"/>
    <col min="17" max="16384" width="9.140625" style="29"/>
  </cols>
  <sheetData>
    <row r="1" spans="1:16" ht="15.75" x14ac:dyDescent="0.25">
      <c r="C1" s="100" t="s">
        <v>110</v>
      </c>
      <c r="D1" s="100"/>
      <c r="E1" s="100"/>
      <c r="K1" s="169" t="s">
        <v>142</v>
      </c>
    </row>
    <row r="2" spans="1:16" x14ac:dyDescent="0.2">
      <c r="C2" s="139" t="s">
        <v>88</v>
      </c>
      <c r="D2" s="139"/>
      <c r="E2" s="139"/>
      <c r="F2" s="138"/>
      <c r="H2" s="137"/>
    </row>
    <row r="3" spans="1:16" x14ac:dyDescent="0.2">
      <c r="H3" s="137"/>
    </row>
    <row r="4" spans="1:16" ht="14.25" customHeight="1" x14ac:dyDescent="0.2">
      <c r="C4" s="101" t="s">
        <v>1</v>
      </c>
      <c r="D4" s="102"/>
      <c r="E4" s="103"/>
      <c r="F4" s="104"/>
      <c r="G4" s="104"/>
      <c r="H4" s="105"/>
      <c r="J4" s="47" t="s">
        <v>0</v>
      </c>
      <c r="K4" s="106">
        <v>2023</v>
      </c>
    </row>
    <row r="5" spans="1:16" x14ac:dyDescent="0.2">
      <c r="F5" s="107"/>
      <c r="G5" s="107"/>
      <c r="H5" s="107"/>
      <c r="I5" s="107"/>
      <c r="J5" s="107"/>
      <c r="K5" s="165"/>
      <c r="L5" s="108"/>
      <c r="M5" s="107"/>
      <c r="N5" s="109"/>
    </row>
    <row r="6" spans="1:16" x14ac:dyDescent="0.2">
      <c r="C6" s="168" t="s">
        <v>136</v>
      </c>
      <c r="F6" s="107"/>
      <c r="G6" s="107"/>
      <c r="H6" s="107"/>
      <c r="I6" s="107"/>
      <c r="J6" s="107"/>
      <c r="K6" s="165"/>
      <c r="L6" s="108"/>
      <c r="M6" s="107"/>
      <c r="N6" s="109"/>
    </row>
    <row r="7" spans="1:16" x14ac:dyDescent="0.2">
      <c r="D7" s="110"/>
      <c r="E7" s="110"/>
    </row>
    <row r="8" spans="1:16" s="111" customFormat="1" ht="24.75" customHeight="1" x14ac:dyDescent="0.2">
      <c r="C8" s="19" t="s">
        <v>123</v>
      </c>
      <c r="D8" s="19" t="str">
        <f>$K$4 &amp;" Throughput"</f>
        <v>2023 Throughput</v>
      </c>
      <c r="E8" s="19" t="s">
        <v>119</v>
      </c>
      <c r="F8" s="36" t="s">
        <v>46</v>
      </c>
      <c r="G8" s="19" t="s">
        <v>53</v>
      </c>
      <c r="H8" s="19" t="s">
        <v>6</v>
      </c>
      <c r="I8" s="19" t="s">
        <v>117</v>
      </c>
      <c r="J8" s="63" t="s">
        <v>50</v>
      </c>
      <c r="K8" s="65" t="s">
        <v>87</v>
      </c>
    </row>
    <row r="9" spans="1:16" x14ac:dyDescent="0.2">
      <c r="A9" s="38"/>
      <c r="B9" t="str">
        <f>IF(D10="","",(LOOKUP(D10,$C$43:$C$46,$F$43:$F$46)))</f>
        <v/>
      </c>
      <c r="C9" s="26"/>
      <c r="D9" s="26"/>
      <c r="E9" s="67" t="s">
        <v>120</v>
      </c>
      <c r="F9" s="31" t="str">
        <f>IF(C9&gt;0,LOOKUP(C9,'Emission Factors'!$A$2:$A$11,'Emission Factors'!$I$2:$I$11)," ")</f>
        <v xml:space="preserve"> </v>
      </c>
      <c r="G9" s="48" t="s">
        <v>41</v>
      </c>
      <c r="H9" s="31" t="str">
        <f>IF(C9=0," ",IF(LOOKUP(C9,'Emission Factors'!$A$2:$A$11,'Emission Factors'!$C$2:$C$11)&gt;0,LOOKUP(C9,'Emission Factors'!$A$2:$A$11,'Emission Factors'!$C$2:$C$11)," "))</f>
        <v xml:space="preserve"> </v>
      </c>
      <c r="I9" s="66" t="str">
        <f>IF(C9=0," ",IF(LOOKUP(C9,'Emission Factors'!$A$2:$A$11,'Emission Factors'!$C$2:$C$11)&gt;0,LOOKUP(C9,'Emission Factors'!$A$2:$A$11,'Emission Factors'!$B$2:$B$11)," "))</f>
        <v xml:space="preserve"> </v>
      </c>
      <c r="J9" s="112" t="str">
        <f>IF(C9=0," ",IF(LOOKUP(C9,'Emission Factors'!$A$2:$A$11,'Emission Factors'!$C$2:$C$11)&gt;0,LOOKUP(C9,'Emission Factors'!$A$2:$A$11,'Emission Factors'!$D$2:$D$11)," "))</f>
        <v xml:space="preserve"> </v>
      </c>
      <c r="K9" s="166" t="str">
        <f>IF(C9=0," ",IF(LOOKUP(C9,'Emission Factors'!$A$2:$A$11,'Emission Factors'!$C$2:$C$11)&gt;0,LOOKUP(C9,'Emission Factors'!$A$2:$A$11,'Emission Factors'!$E$2:$E$11)," "))</f>
        <v xml:space="preserve"> </v>
      </c>
      <c r="M9" s="72"/>
      <c r="N9" s="72"/>
      <c r="O9" s="29"/>
      <c r="P9" s="29"/>
    </row>
    <row r="10" spans="1:16" s="113" customFormat="1" ht="24.95" customHeight="1" x14ac:dyDescent="0.2">
      <c r="B10" t="str">
        <f>IF(D10="","",(LOOKUP(D10,$C$43:$C$46,$E$43:$E$46)))</f>
        <v/>
      </c>
      <c r="C10" s="170" t="str">
        <f>IF(C9="","",IF(C9="Pellet Cooler (Cyclone)","",(IF(C9="Pellet Cooler (High Efficiency Cyclone)","","If the process is controlled, select the type of control from the drop down list:"))))</f>
        <v/>
      </c>
      <c r="D10" s="164"/>
      <c r="G10" s="48" t="s">
        <v>27</v>
      </c>
      <c r="H10" s="31" t="str">
        <f>IF(C9=0," ",IF(LOOKUP(C9,'Emission Factors'!$A$2:$A$11,'Emission Factors'!$F$2:$F$11)&gt;0,LOOKUP(C9,'Emission Factors'!$A$2:$A$11,'Emission Factors'!$F$2:$F$11)," "))</f>
        <v xml:space="preserve"> </v>
      </c>
      <c r="I10" s="66" t="str">
        <f>IF(C9=0," ",IF(LOOKUP(C9,'Emission Factors'!$A$2:$A$11,'Emission Factors'!$F$2:$F$11)&gt;0,LOOKUP(C9,'Emission Factors'!$A$2:$A$11,'Emission Factors'!$B$2:$B$11)," "))</f>
        <v xml:space="preserve"> </v>
      </c>
      <c r="J10" s="112" t="str">
        <f>IF(C9=0," ",IF(LOOKUP(C9,'Emission Factors'!$A$2:$A$11,'Emission Factors'!$F$2:$F$11)&gt;0,LOOKUP(C9,'Emission Factors'!$A$2:$A$11,'Emission Factors'!$G$2:$G$11)," "))</f>
        <v xml:space="preserve"> </v>
      </c>
      <c r="K10" s="167" t="str">
        <f>IF(C9=0," ",IF(LOOKUP(C9,'Emission Factors'!A2:A11,'Emission Factors'!$F$2:$F$11)&gt;0,LOOKUP(C9,'Emission Factors'!$A$2:$A$11,'Emission Factors'!$H$2:$H$11)," "))</f>
        <v xml:space="preserve"> </v>
      </c>
      <c r="M10" s="114"/>
      <c r="N10" s="114"/>
    </row>
    <row r="11" spans="1:16" ht="15" customHeight="1" x14ac:dyDescent="0.2">
      <c r="A11" s="40"/>
      <c r="C11" s="30"/>
      <c r="G11" s="55"/>
      <c r="H11" s="56"/>
      <c r="I11" s="56"/>
      <c r="J11" s="115"/>
      <c r="M11" s="72"/>
      <c r="N11" s="72"/>
      <c r="O11" s="29"/>
      <c r="P11" s="29"/>
    </row>
    <row r="12" spans="1:16" ht="33.75" x14ac:dyDescent="0.2">
      <c r="A12" s="40"/>
      <c r="C12" s="19" t="s">
        <v>123</v>
      </c>
      <c r="D12" s="19" t="str">
        <f>$K$4 &amp;" Throughput"</f>
        <v>2023 Throughput</v>
      </c>
      <c r="E12" s="19" t="s">
        <v>48</v>
      </c>
      <c r="F12" s="36" t="s">
        <v>46</v>
      </c>
      <c r="G12" s="19" t="s">
        <v>53</v>
      </c>
      <c r="H12" s="19" t="s">
        <v>6</v>
      </c>
      <c r="I12" s="19" t="s">
        <v>117</v>
      </c>
      <c r="J12" s="63" t="s">
        <v>50</v>
      </c>
      <c r="K12" s="65" t="s">
        <v>87</v>
      </c>
      <c r="M12" s="72"/>
      <c r="N12" s="72"/>
      <c r="O12" s="29"/>
      <c r="P12" s="29"/>
    </row>
    <row r="13" spans="1:16" x14ac:dyDescent="0.2">
      <c r="A13" s="40" t="s">
        <v>108</v>
      </c>
      <c r="B13" t="str">
        <f>IF(D14="","",(LOOKUP(D14,$C$43:$C$46,$F$43:$F$46)))</f>
        <v/>
      </c>
      <c r="C13" s="26"/>
      <c r="D13" s="26"/>
      <c r="E13" s="67" t="s">
        <v>120</v>
      </c>
      <c r="F13" s="31" t="str">
        <f>IF(C13&gt;0,LOOKUP(C13,'Emission Factors'!$A$2:$A$11,'Emission Factors'!$I$2:$I$11)," ")</f>
        <v xml:space="preserve"> </v>
      </c>
      <c r="G13" s="48" t="s">
        <v>41</v>
      </c>
      <c r="H13" s="31" t="str">
        <f>IF(C13=0," ",IF(LOOKUP(C13,'Emission Factors'!$A$2:$A$11,'Emission Factors'!$C$2:$C$11)&gt;0,LOOKUP(C13,'Emission Factors'!$A$2:$A$11,'Emission Factors'!$C$2:$C$11)," "))</f>
        <v xml:space="preserve"> </v>
      </c>
      <c r="I13" s="66" t="str">
        <f>IF(C13=0," ",IF(LOOKUP(C13,'Emission Factors'!$A$2:$A$11,'Emission Factors'!$C$2:$C$11)&gt;0,LOOKUP(C13,'Emission Factors'!$A$2:$A$11,'Emission Factors'!$B$2:$B$11)," "))</f>
        <v xml:space="preserve"> </v>
      </c>
      <c r="J13" s="112" t="str">
        <f>IF(C13=0," ",IF(LOOKUP(C13,'Emission Factors'!$A$2:$A$11,'Emission Factors'!$C$2:$C$11)&gt;0,LOOKUP(C13,'Emission Factors'!$A$2:$A$11,'Emission Factors'!$D$2:$D$11)," "))</f>
        <v xml:space="preserve"> </v>
      </c>
      <c r="K13" s="166" t="str">
        <f>IF(C13=0," ",IF(LOOKUP(C13,'Emission Factors'!$A$2:$A$11,'Emission Factors'!$C$2:$C$11)&gt;0,LOOKUP(C13,'Emission Factors'!$A$2:$A$11,'Emission Factors'!$E$2:$E$11)," "))</f>
        <v xml:space="preserve"> </v>
      </c>
      <c r="M13" s="72"/>
      <c r="N13" s="72"/>
      <c r="O13" s="29"/>
      <c r="P13" s="29"/>
    </row>
    <row r="14" spans="1:16" ht="23.1" customHeight="1" x14ac:dyDescent="0.2">
      <c r="A14" s="40" t="s">
        <v>104</v>
      </c>
      <c r="B14" t="str">
        <f>IF(D14="","",(LOOKUP(D14,$C$43:$C$46,$E$43:$E$46)))</f>
        <v/>
      </c>
      <c r="C14" s="170" t="str">
        <f>IF(C13="","",IF(C13="Pellet Cooler (Cyclone)","",(IF(C13="Pellet Cooler (High Efficiency Cyclone)","","If the process is controlled, select the type of control from the drop down list:"))))</f>
        <v/>
      </c>
      <c r="D14" s="164"/>
      <c r="F14" s="113"/>
      <c r="G14" s="48" t="s">
        <v>27</v>
      </c>
      <c r="H14" s="31" t="str">
        <f>IF(C13=0," ",IF(LOOKUP(C13,'Emission Factors'!$A$2:$A$11,'Emission Factors'!$F$2:$F$11)&gt;0,LOOKUP(C13,'Emission Factors'!$A$2:$A$11,'Emission Factors'!$F$2:$F$11)," "))</f>
        <v xml:space="preserve"> </v>
      </c>
      <c r="I14" s="66" t="str">
        <f>IF(C13=0," ",IF(LOOKUP(C13,'Emission Factors'!$A$2:$A$11,'Emission Factors'!$F$2:$F$11)&gt;0,LOOKUP(C13,'Emission Factors'!$A$2:$A$11,'Emission Factors'!$B$2:$B$11)," "))</f>
        <v xml:space="preserve"> </v>
      </c>
      <c r="J14" s="112" t="str">
        <f>IF(C13=0," ",IF(LOOKUP(C13,'Emission Factors'!$A$2:$A$11,'Emission Factors'!$F$2:$F$11)&gt;0,LOOKUP(C13,'Emission Factors'!$A$2:$A$11,'Emission Factors'!$G$2:$G$11)," "))</f>
        <v xml:space="preserve"> </v>
      </c>
      <c r="K14" s="167" t="str">
        <f>IF(C13=0," ",IF(LOOKUP(C13,'Emission Factors'!$A$2:$A$11,'Emission Factors'!$F$2:$F$11)&gt;0,LOOKUP(C13,'Emission Factors'!$A$2:$A$11,'Emission Factors'!$H$2:$H$11)," "))</f>
        <v xml:space="preserve"> </v>
      </c>
      <c r="M14" s="72"/>
      <c r="N14" s="72"/>
      <c r="O14" s="29"/>
      <c r="P14" s="29"/>
    </row>
    <row r="15" spans="1:16" x14ac:dyDescent="0.2">
      <c r="A15" s="40" t="s">
        <v>103</v>
      </c>
    </row>
    <row r="16" spans="1:16" ht="33.75" x14ac:dyDescent="0.2">
      <c r="A16" s="57" t="s">
        <v>107</v>
      </c>
      <c r="C16" s="19" t="s">
        <v>123</v>
      </c>
      <c r="D16" s="19" t="str">
        <f>$K$4 &amp;" Throughput"</f>
        <v>2023 Throughput</v>
      </c>
      <c r="E16" s="19" t="s">
        <v>48</v>
      </c>
      <c r="F16" s="36" t="s">
        <v>46</v>
      </c>
      <c r="G16" s="19" t="s">
        <v>53</v>
      </c>
      <c r="H16" s="19" t="s">
        <v>6</v>
      </c>
      <c r="I16" s="19" t="s">
        <v>117</v>
      </c>
      <c r="J16" s="63" t="s">
        <v>50</v>
      </c>
      <c r="K16" s="65" t="s">
        <v>87</v>
      </c>
    </row>
    <row r="17" spans="1:11" x14ac:dyDescent="0.2">
      <c r="A17" s="40" t="s">
        <v>105</v>
      </c>
      <c r="B17" t="str">
        <f>IF(D18="","",(LOOKUP(D18,$C$43:$C$46,$F$43:$F$46)))</f>
        <v/>
      </c>
      <c r="C17" s="26"/>
      <c r="D17" s="26"/>
      <c r="E17" s="67" t="s">
        <v>120</v>
      </c>
      <c r="F17" s="31" t="str">
        <f>IF(C17&gt;0,LOOKUP(C17,'Emission Factors'!$A$2:$A$11,'Emission Factors'!$I$2:$I$11)," ")</f>
        <v xml:space="preserve"> </v>
      </c>
      <c r="G17" s="48" t="s">
        <v>41</v>
      </c>
      <c r="H17" s="31" t="str">
        <f>IF(C17=0," ",IF(LOOKUP(C17,'Emission Factors'!$A$2:$A$11,'Emission Factors'!$C$2:$C$11)&gt;0,LOOKUP(C17,'Emission Factors'!$A$2:$A$11,'Emission Factors'!$C$2:$C$11)," "))</f>
        <v xml:space="preserve"> </v>
      </c>
      <c r="I17" s="66" t="str">
        <f>IF(C17=0," ",IF(LOOKUP(C17,'Emission Factors'!$A$2:$A$11,'Emission Factors'!$C$2:$C$11)&gt;0,LOOKUP(C17,'Emission Factors'!$A$2:$A$11,'Emission Factors'!$B$2:$B$11)," "))</f>
        <v xml:space="preserve"> </v>
      </c>
      <c r="J17" s="112" t="str">
        <f>IF(C17=0," ",IF(LOOKUP(C17,'Emission Factors'!$A$2:$A$11,'Emission Factors'!$C$2:$C$11)&gt;0,LOOKUP(C17,'Emission Factors'!$A$2:$A$11,'Emission Factors'!$D$2:$D$11)," "))</f>
        <v xml:space="preserve"> </v>
      </c>
      <c r="K17" s="166" t="str">
        <f>IF(C17=0," ",IF(LOOKUP(C17,'Emission Factors'!$A$2:$A$11,'Emission Factors'!$C$2:$C$11)&gt;0,LOOKUP(C17,'Emission Factors'!$A$2:$A$11,'Emission Factors'!$E$2:$E$11)," "))</f>
        <v xml:space="preserve"> </v>
      </c>
    </row>
    <row r="18" spans="1:11" ht="21.6" customHeight="1" x14ac:dyDescent="0.2">
      <c r="A18" s="40" t="s">
        <v>121</v>
      </c>
      <c r="B18" t="str">
        <f>IF(D18="","",(LOOKUP(D18,$C$43:$C$46,$E$43:$E$46)))</f>
        <v/>
      </c>
      <c r="C18" s="170" t="str">
        <f>IF(C17="","",IF(C17="Pellet Cooler (Cyclone)","",(IF(C17="Pellet Cooler (High Efficiency Cyclone)","","If the process is controlled, select the type of control from the drop down list:"))))</f>
        <v/>
      </c>
      <c r="D18" s="164"/>
      <c r="F18" s="113"/>
      <c r="G18" s="48" t="s">
        <v>27</v>
      </c>
      <c r="H18" s="31" t="str">
        <f>IF(C17=0," ",IF(LOOKUP(C17,'Emission Factors'!$A$2:$A$11,'Emission Factors'!$F$2:$F$11)&gt;0,LOOKUP(C17,'Emission Factors'!$A$2:$A$11,'Emission Factors'!$F$2:$F$11)," "))</f>
        <v xml:space="preserve"> </v>
      </c>
      <c r="I18" s="66" t="str">
        <f>IF(C17=0," ",IF(LOOKUP(C17,'Emission Factors'!$A$2:$A$11,'Emission Factors'!$F$2:$F$11)&gt;0,LOOKUP(C17,'Emission Factors'!$A$2:$A$11,'Emission Factors'!$B$2:$B$11)," "))</f>
        <v xml:space="preserve"> </v>
      </c>
      <c r="J18" s="112" t="str">
        <f>IF(C17=0," ",IF(LOOKUP(C17,'Emission Factors'!$A$2:$A$11,'Emission Factors'!$F$2:$F$11)&gt;0,LOOKUP(C17,'Emission Factors'!$A$2:$A$11,'Emission Factors'!$G$2:$G$11)," "))</f>
        <v xml:space="preserve"> </v>
      </c>
      <c r="K18" s="167" t="str">
        <f>IF(C17=0," ",IF(LOOKUP(C17,'Emission Factors'!$A$2:$A$11,'Emission Factors'!$F$2:$F$11)&gt;0,LOOKUP(C17,'Emission Factors'!$A$2:$A$11,'Emission Factors'!$H$2:$H$11)," "))</f>
        <v xml:space="preserve"> </v>
      </c>
    </row>
    <row r="19" spans="1:11" x14ac:dyDescent="0.2">
      <c r="A19" s="57" t="s">
        <v>122</v>
      </c>
    </row>
    <row r="20" spans="1:11" ht="33.75" x14ac:dyDescent="0.2">
      <c r="A20" s="57" t="s">
        <v>106</v>
      </c>
      <c r="C20" s="19" t="s">
        <v>123</v>
      </c>
      <c r="D20" s="19" t="str">
        <f>$K$4 &amp;" Throughput"</f>
        <v>2023 Throughput</v>
      </c>
      <c r="E20" s="19" t="s">
        <v>48</v>
      </c>
      <c r="F20" s="36" t="s">
        <v>46</v>
      </c>
      <c r="G20" s="19" t="s">
        <v>53</v>
      </c>
      <c r="H20" s="19" t="s">
        <v>6</v>
      </c>
      <c r="I20" s="19" t="s">
        <v>117</v>
      </c>
      <c r="J20" s="63" t="s">
        <v>50</v>
      </c>
      <c r="K20" s="65" t="s">
        <v>87</v>
      </c>
    </row>
    <row r="21" spans="1:11" x14ac:dyDescent="0.2">
      <c r="A21" s="40" t="s">
        <v>109</v>
      </c>
      <c r="B21" t="str">
        <f>IF(D22="","",(LOOKUP(D22,$C$43:$C$46,$F$43:$F$46)))</f>
        <v/>
      </c>
      <c r="C21" s="26"/>
      <c r="D21" s="26"/>
      <c r="E21" s="67" t="s">
        <v>120</v>
      </c>
      <c r="F21" s="31" t="str">
        <f>IF(C21&gt;0,LOOKUP(C21,'Emission Factors'!$A$2:$A$11,'Emission Factors'!$I$2:$I$11)," ")</f>
        <v xml:space="preserve"> </v>
      </c>
      <c r="G21" s="48" t="s">
        <v>41</v>
      </c>
      <c r="H21" s="31" t="str">
        <f>IF(C21=0," ",IF(LOOKUP(C21,'Emission Factors'!$A$2:$A$11,'Emission Factors'!$C$2:$C$11)&gt;0,LOOKUP(C21,'Emission Factors'!$A$2:$A$11,'Emission Factors'!$C$2:$C$11)," "))</f>
        <v xml:space="preserve"> </v>
      </c>
      <c r="I21" s="66" t="str">
        <f>IF(C21=0," ",IF(LOOKUP(C21,'Emission Factors'!$A$2:$A$11,'Emission Factors'!$C$2:$C$11)&gt;0,LOOKUP(C21,'Emission Factors'!$A$2:$A$11,'Emission Factors'!$B$2:$B$11)," "))</f>
        <v xml:space="preserve"> </v>
      </c>
      <c r="J21" s="112" t="str">
        <f>IF(C21=0," ",IF(LOOKUP(C21,'Emission Factors'!$A$2:$A$11,'Emission Factors'!$C$2:$C$11)&gt;0,LOOKUP(C21,'Emission Factors'!$A$2:$A$11,'Emission Factors'!$D$2:$D$11)," "))</f>
        <v xml:space="preserve"> </v>
      </c>
      <c r="K21" s="166" t="str">
        <f>IF(C21=0," ",IF(LOOKUP(C21,'Emission Factors'!$A$2:$A$11,'Emission Factors'!$C$2:$C$11)&gt;0,LOOKUP(C21,'Emission Factors'!$A$2:$A$11,'Emission Factors'!$E$2:$E$11)," "))</f>
        <v xml:space="preserve"> </v>
      </c>
    </row>
    <row r="22" spans="1:11" ht="21.95" customHeight="1" x14ac:dyDescent="0.2">
      <c r="B22" t="str">
        <f>IF(D22="","",(LOOKUP(D22,$C$43:$C$46,$E$43:$E$46)))</f>
        <v/>
      </c>
      <c r="C22" s="170" t="str">
        <f>IF(C21="","",IF(C21="Pellet Cooler (Cyclone)","",(IF(C21="Pellet Cooler (High Efficiency Cyclone)","","If the process is controlled, select the type of control from the drop down list:"))))</f>
        <v/>
      </c>
      <c r="D22" s="164"/>
      <c r="F22" s="113"/>
      <c r="G22" s="48" t="s">
        <v>27</v>
      </c>
      <c r="H22" s="31" t="str">
        <f>IF(C21=0," ",IF(LOOKUP(C21,'Emission Factors'!$A$2:$A$11,'Emission Factors'!$F$2:$F$11)&gt;0,LOOKUP(C21,'Emission Factors'!$A$2:$A$11,'Emission Factors'!$F$2:$F$11)," "))</f>
        <v xml:space="preserve"> </v>
      </c>
      <c r="I22" s="66" t="str">
        <f>IF(C21=0," ",IF(LOOKUP(C21,'Emission Factors'!$A$2:$A$11,'Emission Factors'!$F$2:$F$11)&gt;0,LOOKUP(C21,'Emission Factors'!$A$2:$A$11,'Emission Factors'!$B$2:$B$11)," "))</f>
        <v xml:space="preserve"> </v>
      </c>
      <c r="J22" s="112" t="str">
        <f>IF(C21=0," ",IF(LOOKUP(C21,'Emission Factors'!$A$2:$A$11,'Emission Factors'!$F$2:$F$11)&gt;0,LOOKUP(C21,'Emission Factors'!$A$2:$A$11,'Emission Factors'!$G$2:$G$11)," "))</f>
        <v xml:space="preserve"> </v>
      </c>
      <c r="K22" s="167" t="str">
        <f>IF(C21=0," ",IF(LOOKUP(C21,'Emission Factors'!$A$2:$A$11,'Emission Factors'!$F$2:$F$11)&gt;0,LOOKUP(C21,'Emission Factors'!$A$2:$A$11,'Emission Factors'!$H$2:$H$11)," "))</f>
        <v xml:space="preserve"> </v>
      </c>
    </row>
    <row r="24" spans="1:11" ht="33.75" x14ac:dyDescent="0.2">
      <c r="C24" s="19" t="s">
        <v>123</v>
      </c>
      <c r="D24" s="19" t="str">
        <f>$K$4 &amp;" Throughput"</f>
        <v>2023 Throughput</v>
      </c>
      <c r="E24" s="19" t="s">
        <v>48</v>
      </c>
      <c r="F24" s="36" t="s">
        <v>46</v>
      </c>
      <c r="G24" s="19" t="s">
        <v>53</v>
      </c>
      <c r="H24" s="19" t="s">
        <v>6</v>
      </c>
      <c r="I24" s="19" t="s">
        <v>117</v>
      </c>
      <c r="J24" s="63" t="s">
        <v>50</v>
      </c>
      <c r="K24" s="65" t="s">
        <v>87</v>
      </c>
    </row>
    <row r="25" spans="1:11" x14ac:dyDescent="0.2">
      <c r="B25" t="str">
        <f>IF(D26="","",(LOOKUP(D26,$C$43:$C$46,$F$43:$F$46)))</f>
        <v/>
      </c>
      <c r="C25" s="26"/>
      <c r="D25" s="26"/>
      <c r="E25" s="67" t="s">
        <v>120</v>
      </c>
      <c r="F25" s="31" t="str">
        <f>IF(C25&gt;0,LOOKUP(C25,'Emission Factors'!$A$2:$A$11,'Emission Factors'!$I$2:$I$11)," ")</f>
        <v xml:space="preserve"> </v>
      </c>
      <c r="G25" s="48" t="s">
        <v>41</v>
      </c>
      <c r="H25" s="31" t="str">
        <f>IF(C25=0," ",IF(LOOKUP(C25,'Emission Factors'!$A$2:$A$11,'Emission Factors'!$C$2:$C$11)&gt;0,LOOKUP(C25,'Emission Factors'!$A$2:$A$11,'Emission Factors'!$C$2:$C$11)," "))</f>
        <v xml:space="preserve"> </v>
      </c>
      <c r="I25" s="66" t="str">
        <f>IF(C25=0," ",IF(LOOKUP(C25,'Emission Factors'!$A$2:$A$11,'Emission Factors'!$C$2:$C$11)&gt;0,LOOKUP(C25,'Emission Factors'!$A$2:$A$11,'Emission Factors'!$B$2:$B$11)," "))</f>
        <v xml:space="preserve"> </v>
      </c>
      <c r="J25" s="112" t="str">
        <f>IF(C25=0," ",IF(LOOKUP(C25,'Emission Factors'!$A$2:$A$11,'Emission Factors'!$C$2:$C$11)&gt;0,LOOKUP(C25,'Emission Factors'!$A$2:$A$11,'Emission Factors'!$D$2:$D$11)," "))</f>
        <v xml:space="preserve"> </v>
      </c>
      <c r="K25" s="166" t="str">
        <f>IF(C25=0," ",IF(LOOKUP(C25,'Emission Factors'!$A$2:$A$11,'Emission Factors'!$C$2:$C$11)&gt;0,LOOKUP(C25,'Emission Factors'!$A$2:$A$11,'Emission Factors'!$E$2:$E$11)," "))</f>
        <v xml:space="preserve"> </v>
      </c>
    </row>
    <row r="26" spans="1:11" ht="21.6" customHeight="1" x14ac:dyDescent="0.2">
      <c r="B26" t="str">
        <f>IF(D26="","",(LOOKUP(D26,$C$43:$C$46,$E$43:$E$46)))</f>
        <v/>
      </c>
      <c r="C26" s="170" t="str">
        <f>IF(C25="","",IF(C25="Pellet Cooler (Cyclone)","",(IF(C25="Pellet Cooler (High Efficiency Cyclone)","","If the process is controlled, select the type of control from the drop down list:"))))</f>
        <v/>
      </c>
      <c r="D26" s="164"/>
      <c r="F26" s="113"/>
      <c r="G26" s="48" t="s">
        <v>27</v>
      </c>
      <c r="H26" s="31" t="str">
        <f>IF(C25=0," ",IF(LOOKUP(C25,'Emission Factors'!$A$2:$A$11,'Emission Factors'!$F$2:$F$11)&gt;0,LOOKUP(C25,'Emission Factors'!$A$2:$A$11,'Emission Factors'!$F$2:$F$11)," "))</f>
        <v xml:space="preserve"> </v>
      </c>
      <c r="I26" s="66" t="str">
        <f>IF(C25=0," ",IF(LOOKUP(C25,'Emission Factors'!$A$2:$A$11,'Emission Factors'!$F$2:$F$11)&gt;0,LOOKUP(C25,'Emission Factors'!$A$2:$A$11,'Emission Factors'!$B$2:$B$11)," "))</f>
        <v xml:space="preserve"> </v>
      </c>
      <c r="J26" s="112" t="str">
        <f>IF(C25=0," ",IF(LOOKUP(C25,'Emission Factors'!$A$2:$A$11,'Emission Factors'!$F$2:$F$11)&gt;0,LOOKUP(C25,'Emission Factors'!$A$2:$A$11,'Emission Factors'!$G$2:$G$11)," "))</f>
        <v xml:space="preserve"> </v>
      </c>
      <c r="K26" s="167" t="str">
        <f>IF(C25=0," ",IF(LOOKUP(C25,'Emission Factors'!$A$2:$A$11,'Emission Factors'!$F$2:$F$11)&gt;0,LOOKUP(C25,'Emission Factors'!$A$2:$A$11,'Emission Factors'!$H$2:$H$11)," "))</f>
        <v xml:space="preserve"> </v>
      </c>
    </row>
    <row r="28" spans="1:11" ht="33.75" x14ac:dyDescent="0.2">
      <c r="C28" s="19" t="s">
        <v>123</v>
      </c>
      <c r="D28" s="19" t="str">
        <f>$K$4 &amp;" Throughput"</f>
        <v>2023 Throughput</v>
      </c>
      <c r="E28" s="19" t="s">
        <v>48</v>
      </c>
      <c r="F28" s="36" t="s">
        <v>46</v>
      </c>
      <c r="G28" s="19" t="s">
        <v>53</v>
      </c>
      <c r="H28" s="19" t="s">
        <v>6</v>
      </c>
      <c r="I28" s="19" t="s">
        <v>117</v>
      </c>
      <c r="J28" s="63" t="s">
        <v>50</v>
      </c>
      <c r="K28" s="65" t="s">
        <v>87</v>
      </c>
    </row>
    <row r="29" spans="1:11" x14ac:dyDescent="0.2">
      <c r="B29" t="str">
        <f>IF(D30="","",(LOOKUP(D30,$C$43:$C$46,$F$43:$F$46)))</f>
        <v/>
      </c>
      <c r="C29" s="26"/>
      <c r="D29" s="26"/>
      <c r="E29" s="67" t="s">
        <v>120</v>
      </c>
      <c r="F29" s="31" t="str">
        <f>IF(C29&gt;0,LOOKUP(C29,'Emission Factors'!$A$2:$A$11,'Emission Factors'!$I$2:$I$11)," ")</f>
        <v xml:space="preserve"> </v>
      </c>
      <c r="G29" s="48" t="s">
        <v>41</v>
      </c>
      <c r="H29" s="31" t="str">
        <f>IF(C29=0," ",IF(LOOKUP(C29,'Emission Factors'!$A$2:$A$11,'Emission Factors'!$C$2:$C$11)&gt;0,LOOKUP(C29,'Emission Factors'!$A$2:$A$11,'Emission Factors'!$C$2:$C$11)," "))</f>
        <v xml:space="preserve"> </v>
      </c>
      <c r="I29" s="66" t="str">
        <f>IF(C29=0," ",IF(LOOKUP(C29,'Emission Factors'!$A$2:$A$11,'Emission Factors'!$C$2:$C$11)&gt;0,LOOKUP(C29,'Emission Factors'!$A$2:$A$11,'Emission Factors'!$B$2:$B$11)," "))</f>
        <v xml:space="preserve"> </v>
      </c>
      <c r="J29" s="112" t="str">
        <f>IF(C29=0," ",IF(LOOKUP(C29,'Emission Factors'!$A$2:$A$11,'Emission Factors'!$C$2:$C$11)&gt;0,LOOKUP(C29,'Emission Factors'!$A$2:$A$11,'Emission Factors'!$D$2:$D$11)," "))</f>
        <v xml:space="preserve"> </v>
      </c>
      <c r="K29" s="166" t="str">
        <f>IF(C29=0," ",IF(LOOKUP(C29,'Emission Factors'!$A$2:$A$11,'Emission Factors'!$C$2:$C$11)&gt;0,LOOKUP(C29,'Emission Factors'!$A$2:$A$11,'Emission Factors'!$E$2:$E$11)," "))</f>
        <v xml:space="preserve"> </v>
      </c>
    </row>
    <row r="30" spans="1:11" ht="21.6" customHeight="1" x14ac:dyDescent="0.2">
      <c r="B30" t="str">
        <f>IF(D30="","",(LOOKUP(D30,$C$43:$C$46,$E$43:$E$46)))</f>
        <v/>
      </c>
      <c r="C30" s="170" t="str">
        <f>IF(C29="","",IF(C29="Pellet Cooler (Cyclone)","",(IF(C29="Pellet Cooler (High Efficiency Cyclone)","","If the process is controlled, select the type of control from the drop down list:"))))</f>
        <v/>
      </c>
      <c r="D30" s="164"/>
      <c r="F30" s="113"/>
      <c r="G30" s="48" t="s">
        <v>27</v>
      </c>
      <c r="H30" s="31" t="str">
        <f>IF(C29=0," ",IF(LOOKUP(C29,'Emission Factors'!$A$2:$A$11,'Emission Factors'!$F$2:$F$11)&gt;0,LOOKUP(C29,'Emission Factors'!$A$2:$A$11,'Emission Factors'!$F$2:$F$11)," "))</f>
        <v xml:space="preserve"> </v>
      </c>
      <c r="I30" s="66" t="str">
        <f>IF(C29=0," ",IF(LOOKUP(C29,'Emission Factors'!$A$2:$A$11,'Emission Factors'!$F$2:$F$11)&gt;0,LOOKUP(C29,'Emission Factors'!$A$2:$A$11,'Emission Factors'!$B$2:$B$11)," "))</f>
        <v xml:space="preserve"> </v>
      </c>
      <c r="J30" s="112" t="str">
        <f>IF(C29=0," ",IF(LOOKUP(C29,'Emission Factors'!$A$2:$A$11,'Emission Factors'!$F$2:$F$11)&gt;0,LOOKUP(C29,'Emission Factors'!$A$2:$A$11,'Emission Factors'!$G$2:$G$11)," "))</f>
        <v xml:space="preserve"> </v>
      </c>
      <c r="K30" s="167" t="str">
        <f>IF(C29=0," ",IF(LOOKUP(C29,'Emission Factors'!$A$2:$A$11,'Emission Factors'!$F$2:$F$11)&gt;0,LOOKUP(C29,'Emission Factors'!$A$2:$A$11,'Emission Factors'!$H$2:$H$11)," "))</f>
        <v xml:space="preserve"> </v>
      </c>
    </row>
    <row r="32" spans="1:11" ht="33.75" x14ac:dyDescent="0.2">
      <c r="C32" s="19" t="s">
        <v>123</v>
      </c>
      <c r="D32" s="19" t="str">
        <f>$K$4 &amp;" Throughput"</f>
        <v>2023 Throughput</v>
      </c>
      <c r="E32" s="19" t="s">
        <v>48</v>
      </c>
      <c r="F32" s="36" t="s">
        <v>46</v>
      </c>
      <c r="G32" s="19" t="s">
        <v>53</v>
      </c>
      <c r="H32" s="19" t="s">
        <v>6</v>
      </c>
      <c r="I32" s="19" t="s">
        <v>117</v>
      </c>
      <c r="J32" s="63" t="s">
        <v>50</v>
      </c>
      <c r="K32" s="65" t="s">
        <v>87</v>
      </c>
    </row>
    <row r="33" spans="2:11" x14ac:dyDescent="0.2">
      <c r="B33" t="str">
        <f>IF(D34="","",(LOOKUP(D34,$C$43:$C$46,$F$43:$F$46)))</f>
        <v/>
      </c>
      <c r="C33" s="26"/>
      <c r="D33" s="26"/>
      <c r="E33" s="67" t="s">
        <v>120</v>
      </c>
      <c r="F33" s="31" t="str">
        <f>IF(C33&gt;0,LOOKUP(C33,'Emission Factors'!$A$2:$A$11,'Emission Factors'!$I$2:$I$11)," ")</f>
        <v xml:space="preserve"> </v>
      </c>
      <c r="G33" s="48" t="s">
        <v>41</v>
      </c>
      <c r="H33" s="31" t="str">
        <f>IF(C33=0," ",IF(LOOKUP(C33,'Emission Factors'!$A$2:$A$11,'Emission Factors'!$C$2:$C$11)&gt;0,LOOKUP(C33,'Emission Factors'!$A$2:$A$11,'Emission Factors'!$C$2:$C$11)," "))</f>
        <v xml:space="preserve"> </v>
      </c>
      <c r="I33" s="66" t="str">
        <f>IF(C33=0," ",IF(LOOKUP(C33,'Emission Factors'!$A$2:$A$11,'Emission Factors'!$C$2:$C$11)&gt;0,LOOKUP(C33,'Emission Factors'!$A$2:$A$11,'Emission Factors'!$B$2:$B$11)," "))</f>
        <v xml:space="preserve"> </v>
      </c>
      <c r="J33" s="112" t="str">
        <f>IF(C33=0," ",IF(LOOKUP(C33,'Emission Factors'!$A$2:$A$11,'Emission Factors'!$C$2:$C$11)&gt;0,LOOKUP(C33,'Emission Factors'!$A$2:$A$11,'Emission Factors'!$D$2:$D$11)," "))</f>
        <v xml:space="preserve"> </v>
      </c>
      <c r="K33" s="166" t="str">
        <f>IF(C33=0," ",IF(LOOKUP(C33,'Emission Factors'!$A$2:$A$11,'Emission Factors'!$C$2:$C$11)&gt;0,LOOKUP(C33,'Emission Factors'!$A$2:$A$11,'Emission Factors'!$E$2:$E$11)," "))</f>
        <v xml:space="preserve"> </v>
      </c>
    </row>
    <row r="34" spans="2:11" ht="21.6" customHeight="1" x14ac:dyDescent="0.2">
      <c r="B34" t="str">
        <f>IF(D34="","",(LOOKUP(D34,$C$43:$C$46,$E$43:$E$46)))</f>
        <v/>
      </c>
      <c r="C34" s="170" t="str">
        <f>IF(C33="","",IF(C33="Pellet Cooler (Cyclone)","",(IF(C33="Pellet Cooler (High Efficiency Cyclone)","","If the process is controlled, select the type of control from the drop down list:"))))</f>
        <v/>
      </c>
      <c r="D34" s="164"/>
      <c r="F34" s="113"/>
      <c r="G34" s="48" t="s">
        <v>27</v>
      </c>
      <c r="H34" s="31" t="str">
        <f>IF(C33=0," ",IF(LOOKUP(C33,'Emission Factors'!$A$2:$A$11,'Emission Factors'!$F$2:$F$11)&gt;0,LOOKUP(C33,'Emission Factors'!$A$2:$A$11,'Emission Factors'!$F$2:$F$11)," "))</f>
        <v xml:space="preserve"> </v>
      </c>
      <c r="I34" s="66" t="str">
        <f>IF(C33=0," ",IF(LOOKUP(C33,'Emission Factors'!$A$2:$A$11,'Emission Factors'!$F$2:$F$11)&gt;0,LOOKUP(C33,'Emission Factors'!$A$2:$A$11,'Emission Factors'!$B$2:$B$11)," "))</f>
        <v xml:space="preserve"> </v>
      </c>
      <c r="J34" s="112" t="str">
        <f>IF(C33=0," ",IF(LOOKUP(C33,'Emission Factors'!$A$2:$A$11,'Emission Factors'!$F$2:$F$11)&gt;0,LOOKUP(C33,'Emission Factors'!$A$2:$A$11,'Emission Factors'!$G$2:$G$11)," "))</f>
        <v xml:space="preserve"> </v>
      </c>
      <c r="K34" s="167" t="str">
        <f>IF(C33=0," ",IF(LOOKUP(C33,'Emission Factors'!$A$2:$A$11,'Emission Factors'!$F$2:$F$11)&gt;0,LOOKUP(C33,'Emission Factors'!$A$2:$A$11,'Emission Factors'!$H$2:$H$11)," "))</f>
        <v xml:space="preserve"> </v>
      </c>
    </row>
    <row r="36" spans="2:11" ht="33.75" x14ac:dyDescent="0.2">
      <c r="C36" s="19" t="s">
        <v>123</v>
      </c>
      <c r="D36" s="19" t="str">
        <f>$K$4 &amp;" Throughput"</f>
        <v>2023 Throughput</v>
      </c>
      <c r="E36" s="19" t="s">
        <v>48</v>
      </c>
      <c r="F36" s="36" t="s">
        <v>46</v>
      </c>
      <c r="G36" s="19" t="s">
        <v>53</v>
      </c>
      <c r="H36" s="19" t="s">
        <v>6</v>
      </c>
      <c r="I36" s="19" t="s">
        <v>117</v>
      </c>
      <c r="J36" s="63" t="s">
        <v>50</v>
      </c>
      <c r="K36" s="65" t="s">
        <v>87</v>
      </c>
    </row>
    <row r="37" spans="2:11" x14ac:dyDescent="0.2">
      <c r="B37" t="str">
        <f>IF(D38="","",(LOOKUP(D38,$C$43:$C$46,$F$43:$F$46)))</f>
        <v/>
      </c>
      <c r="C37" s="26"/>
      <c r="D37" s="26"/>
      <c r="E37" s="67" t="s">
        <v>120</v>
      </c>
      <c r="F37" s="31" t="str">
        <f>IF(C37&gt;0,LOOKUP(C37,'Emission Factors'!$A$2:$A$11,'Emission Factors'!$I$2:$I$11)," ")</f>
        <v xml:space="preserve"> </v>
      </c>
      <c r="G37" s="48" t="s">
        <v>41</v>
      </c>
      <c r="H37" s="31" t="str">
        <f>IF(C37=0," ",IF(LOOKUP(C37,'Emission Factors'!$A$2:$A$11,'Emission Factors'!$C$2:$C$11)&gt;0,LOOKUP(C37,'Emission Factors'!$A$2:$A$11,'Emission Factors'!$C$2:$C$11)," "))</f>
        <v xml:space="preserve"> </v>
      </c>
      <c r="I37" s="66" t="str">
        <f>IF(C37=0," ",IF(LOOKUP(C37,'Emission Factors'!$A$2:$A$11,'Emission Factors'!$C$2:$C$11)&gt;0,LOOKUP(C37,'Emission Factors'!$A$2:$A$11,'Emission Factors'!$B$2:$B$11)," "))</f>
        <v xml:space="preserve"> </v>
      </c>
      <c r="J37" s="112" t="str">
        <f>IF(C37=0," ",IF(LOOKUP(C37,'Emission Factors'!$A$2:$A$11,'Emission Factors'!$C$2:$C$11)&gt;0,LOOKUP(C37,'Emission Factors'!$A$2:$A$11,'Emission Factors'!$D$2:$D$11)," "))</f>
        <v xml:space="preserve"> </v>
      </c>
      <c r="K37" s="166" t="str">
        <f>IF(C37=0," ",IF(LOOKUP(C37,'Emission Factors'!$A$2:$A$11,'Emission Factors'!$C$2:$C$11)&gt;0,LOOKUP(C37,'Emission Factors'!$A$2:$A$11,'Emission Factors'!$E$2:$E$11)," "))</f>
        <v xml:space="preserve"> </v>
      </c>
    </row>
    <row r="38" spans="2:11" ht="21.95" customHeight="1" x14ac:dyDescent="0.2">
      <c r="B38" t="str">
        <f>IF(D38="","",(LOOKUP(D38,$C$43:$C$46,$E$43:$E$46)))</f>
        <v/>
      </c>
      <c r="C38" s="170" t="str">
        <f>IF(C37="","",IF(C37="Pellet Cooler (Cyclone)","",(IF(C37="Pellet Cooler (High Efficiency Cyclone)","","If the process is controlled, select the type of control from the drop down list:"))))</f>
        <v/>
      </c>
      <c r="D38" s="164"/>
      <c r="F38" s="113"/>
      <c r="G38" s="48" t="s">
        <v>27</v>
      </c>
      <c r="H38" s="31" t="str">
        <f>IF(C37=0," ",IF(LOOKUP(C37,'Emission Factors'!$A$2:$A$11,'Emission Factors'!$F$2:$F$11)&gt;0,LOOKUP(C37,'Emission Factors'!$A$2:$A$11,'Emission Factors'!$F$2:$F$11)," "))</f>
        <v xml:space="preserve"> </v>
      </c>
      <c r="I38" s="66" t="str">
        <f>IF(C37=0," ",IF(LOOKUP(C37,'Emission Factors'!$A$2:$A$11,'Emission Factors'!$F$2:$F$11)&gt;0,LOOKUP(C37,'Emission Factors'!$A$2:$A$11,'Emission Factors'!$B$2:$B$11)," "))</f>
        <v xml:space="preserve"> </v>
      </c>
      <c r="J38" s="112" t="str">
        <f>IF(C37=0," ",IF(LOOKUP(C37,'Emission Factors'!$A$2:$A$11,'Emission Factors'!$F$2:$F$11)&gt;0,LOOKUP(C37,'Emission Factors'!$A$2:$A$11,'Emission Factors'!$G$2:$G$11)," "))</f>
        <v xml:space="preserve"> </v>
      </c>
      <c r="K38" s="167" t="str">
        <f>IF(C37=0," ",IF(LOOKUP(C37,'Emission Factors'!$A$2:$A$11,'Emission Factors'!$F$2:$F$11)&gt;0,LOOKUP(C37,'Emission Factors'!$A$2:$A$11,'Emission Factors'!$H$2:$H$11)," "))</f>
        <v xml:space="preserve"> </v>
      </c>
    </row>
    <row r="40" spans="2:11" ht="13.5" thickBot="1" x14ac:dyDescent="0.25"/>
    <row r="41" spans="2:11" x14ac:dyDescent="0.2">
      <c r="C41" s="140"/>
      <c r="D41" s="149" t="s">
        <v>135</v>
      </c>
      <c r="E41" s="141"/>
      <c r="F41" s="142"/>
      <c r="G41" s="110"/>
    </row>
    <row r="42" spans="2:11" ht="14.25" thickBot="1" x14ac:dyDescent="0.3">
      <c r="C42" s="143" t="s">
        <v>124</v>
      </c>
      <c r="D42" s="150" t="s">
        <v>125</v>
      </c>
      <c r="E42" s="134" t="s">
        <v>133</v>
      </c>
      <c r="F42" s="151" t="s">
        <v>134</v>
      </c>
      <c r="G42" s="110"/>
    </row>
    <row r="43" spans="2:11" x14ac:dyDescent="0.2">
      <c r="C43" s="144" t="s">
        <v>137</v>
      </c>
      <c r="D43" s="152">
        <v>95</v>
      </c>
      <c r="E43" s="153">
        <v>80</v>
      </c>
      <c r="F43" s="154">
        <v>80</v>
      </c>
      <c r="G43" s="110"/>
    </row>
    <row r="44" spans="2:11" x14ac:dyDescent="0.2">
      <c r="C44" s="145" t="s">
        <v>138</v>
      </c>
      <c r="D44" s="155">
        <v>75</v>
      </c>
      <c r="E44" s="156">
        <v>50</v>
      </c>
      <c r="F44" s="157">
        <v>50</v>
      </c>
      <c r="G44" s="110"/>
    </row>
    <row r="45" spans="2:11" x14ac:dyDescent="0.2">
      <c r="C45" s="145" t="s">
        <v>139</v>
      </c>
      <c r="D45" s="155">
        <v>35</v>
      </c>
      <c r="E45" s="156">
        <v>10</v>
      </c>
      <c r="F45" s="157">
        <v>10</v>
      </c>
      <c r="G45" s="110"/>
    </row>
    <row r="46" spans="2:11" ht="13.5" thickBot="1" x14ac:dyDescent="0.25">
      <c r="C46" s="146" t="s">
        <v>140</v>
      </c>
      <c r="D46" s="158">
        <v>99</v>
      </c>
      <c r="E46" s="159">
        <v>95</v>
      </c>
      <c r="F46" s="160">
        <v>95</v>
      </c>
      <c r="G46" s="110"/>
    </row>
    <row r="47" spans="2:11" x14ac:dyDescent="0.2">
      <c r="C47" s="147" t="s">
        <v>126</v>
      </c>
      <c r="D47" s="147"/>
      <c r="E47" s="147"/>
      <c r="F47" s="148"/>
      <c r="G47" s="110"/>
    </row>
    <row r="48" spans="2:11" x14ac:dyDescent="0.2">
      <c r="C48" s="147" t="s">
        <v>127</v>
      </c>
      <c r="D48" s="147" t="s">
        <v>128</v>
      </c>
      <c r="E48" s="147"/>
      <c r="F48" s="148"/>
      <c r="G48" s="110"/>
    </row>
    <row r="49" spans="3:7" x14ac:dyDescent="0.2">
      <c r="C49" s="147" t="s">
        <v>129</v>
      </c>
      <c r="D49" s="147" t="s">
        <v>130</v>
      </c>
      <c r="E49" s="147"/>
      <c r="F49" s="148"/>
      <c r="G49" s="110"/>
    </row>
    <row r="50" spans="3:7" x14ac:dyDescent="0.2">
      <c r="C50" s="147" t="s">
        <v>131</v>
      </c>
      <c r="D50" s="147" t="s">
        <v>132</v>
      </c>
      <c r="E50" s="147"/>
      <c r="F50" s="148"/>
      <c r="G50" s="110"/>
    </row>
  </sheetData>
  <sheetProtection algorithmName="SHA-512" hashValue="QtEtiYz9IFmtG1yQKdY7R66YgBAWmw8X+iXqgnfr2HZgEK1lnBdyTTYYlGek4A2b1OxrX277vyj/CfYUR1lxXw==" saltValue="/3ST+if5nKKppjslefVUgQ==" spinCount="100000" sheet="1" objects="1" scenarios="1"/>
  <sortState ref="A13:A21">
    <sortCondition ref="A13:A21"/>
  </sortState>
  <phoneticPr fontId="0" type="noConversion"/>
  <conditionalFormatting sqref="C10 C14 C18 C22 C26 C30 C34 C38">
    <cfRule type="cellIs" dxfId="8" priority="111" stopIfTrue="1" operator="equal">
      <formula>$C$10=" "</formula>
    </cfRule>
  </conditionalFormatting>
  <conditionalFormatting sqref="D10">
    <cfRule type="expression" dxfId="7" priority="112">
      <formula>C10=""</formula>
    </cfRule>
  </conditionalFormatting>
  <conditionalFormatting sqref="D14">
    <cfRule type="expression" dxfId="6" priority="113">
      <formula>C14=""</formula>
    </cfRule>
  </conditionalFormatting>
  <conditionalFormatting sqref="D18">
    <cfRule type="expression" dxfId="5" priority="114">
      <formula>C18=""</formula>
    </cfRule>
  </conditionalFormatting>
  <conditionalFormatting sqref="D22">
    <cfRule type="expression" dxfId="4" priority="115">
      <formula>C22=""</formula>
    </cfRule>
  </conditionalFormatting>
  <conditionalFormatting sqref="D26">
    <cfRule type="expression" dxfId="3" priority="116">
      <formula>C26=""</formula>
    </cfRule>
  </conditionalFormatting>
  <conditionalFormatting sqref="D30">
    <cfRule type="expression" dxfId="2" priority="117">
      <formula>C30=""</formula>
    </cfRule>
  </conditionalFormatting>
  <conditionalFormatting sqref="D34">
    <cfRule type="expression" dxfId="1" priority="118">
      <formula>C34=""</formula>
    </cfRule>
  </conditionalFormatting>
  <conditionalFormatting sqref="D38">
    <cfRule type="expression" dxfId="0" priority="119">
      <formula>C38=""</formula>
    </cfRule>
  </conditionalFormatting>
  <dataValidations xWindow="336" yWindow="417" count="2">
    <dataValidation type="list" allowBlank="1" showInputMessage="1" showErrorMessage="1" sqref="C9 C17 C13 C21 C25 C29 C33 C37" xr:uid="{00000000-0002-0000-0000-000000000000}">
      <formula1>Processes</formula1>
    </dataValidation>
    <dataValidation type="list" allowBlank="1" showInputMessage="1" showErrorMessage="1" sqref="D10 D38 D34 D30 D26 D22 D18 D14" xr:uid="{482B7CCA-654D-4038-808E-683A526F031D}">
      <formula1>$C$43:$C$46</formula1>
    </dataValidation>
  </dataValidations>
  <pageMargins left="0.75" right="0.75" top="1" bottom="1" header="0.5" footer="0.5"/>
  <pageSetup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zoomScale="115" workbookViewId="0"/>
  </sheetViews>
  <sheetFormatPr defaultColWidth="9.140625" defaultRowHeight="12.75" x14ac:dyDescent="0.2"/>
  <cols>
    <col min="1" max="1" width="33.140625" style="12" customWidth="1"/>
    <col min="2" max="2" width="11.28515625" style="12" bestFit="1" customWidth="1"/>
    <col min="3" max="3" width="12.42578125" style="12" customWidth="1"/>
    <col min="4" max="4" width="9.140625" style="12"/>
    <col min="5" max="5" width="12.140625" style="12" customWidth="1"/>
    <col min="6" max="6" width="14.28515625" style="12" customWidth="1"/>
    <col min="7" max="7" width="9.140625" style="12"/>
    <col min="8" max="8" width="20.140625" style="12" bestFit="1" customWidth="1"/>
    <col min="9" max="9" width="14.140625" style="12" customWidth="1"/>
    <col min="10" max="10" width="12" style="12" customWidth="1"/>
    <col min="11" max="16384" width="9.140625" style="12"/>
  </cols>
  <sheetData>
    <row r="1" spans="1:9" ht="15.75" x14ac:dyDescent="0.25">
      <c r="A1" s="11" t="s">
        <v>24</v>
      </c>
    </row>
    <row r="2" spans="1:9" x14ac:dyDescent="0.2">
      <c r="A2" s="18" t="s">
        <v>40</v>
      </c>
      <c r="B2" s="171"/>
      <c r="C2" s="172"/>
      <c r="D2" s="172"/>
      <c r="E2" s="172"/>
      <c r="F2" s="173"/>
    </row>
    <row r="4" spans="1:9" x14ac:dyDescent="0.2">
      <c r="A4" s="13" t="s">
        <v>38</v>
      </c>
    </row>
    <row r="5" spans="1:9" x14ac:dyDescent="0.2">
      <c r="B5" s="14" t="s">
        <v>25</v>
      </c>
      <c r="C5" s="14" t="s">
        <v>26</v>
      </c>
      <c r="G5" s="17"/>
    </row>
    <row r="6" spans="1:9" x14ac:dyDescent="0.2">
      <c r="A6" s="10" t="s">
        <v>27</v>
      </c>
      <c r="B6" s="62"/>
      <c r="C6" s="62"/>
    </row>
    <row r="7" spans="1:9" x14ac:dyDescent="0.2">
      <c r="A7" s="10" t="s">
        <v>28</v>
      </c>
      <c r="B7" s="62"/>
      <c r="C7" s="62"/>
    </row>
    <row r="8" spans="1:9" x14ac:dyDescent="0.2">
      <c r="A8" s="10" t="s">
        <v>34</v>
      </c>
      <c r="B8" s="62"/>
      <c r="C8" s="62"/>
    </row>
    <row r="9" spans="1:9" x14ac:dyDescent="0.2">
      <c r="A9" s="10" t="s">
        <v>29</v>
      </c>
      <c r="B9" s="62"/>
      <c r="C9" s="62"/>
    </row>
    <row r="10" spans="1:9" x14ac:dyDescent="0.2">
      <c r="A10" s="10" t="s">
        <v>30</v>
      </c>
      <c r="B10" s="62"/>
      <c r="C10" s="62"/>
    </row>
    <row r="11" spans="1:9" x14ac:dyDescent="0.2">
      <c r="A11" s="10" t="s">
        <v>31</v>
      </c>
      <c r="B11" s="62"/>
      <c r="C11" s="62"/>
    </row>
    <row r="12" spans="1:9" x14ac:dyDescent="0.2">
      <c r="A12" s="10" t="s">
        <v>32</v>
      </c>
      <c r="B12" s="62"/>
      <c r="C12" s="62"/>
    </row>
    <row r="13" spans="1:9" x14ac:dyDescent="0.2">
      <c r="A13" s="10" t="s">
        <v>33</v>
      </c>
      <c r="B13" s="62"/>
      <c r="C13" s="62"/>
      <c r="E13" s="174" t="s">
        <v>82</v>
      </c>
      <c r="F13" s="174"/>
      <c r="G13" s="174"/>
      <c r="H13" s="174"/>
      <c r="I13" s="174"/>
    </row>
    <row r="14" spans="1:9" x14ac:dyDescent="0.2">
      <c r="E14" s="174"/>
      <c r="F14" s="174"/>
      <c r="G14" s="174"/>
      <c r="H14" s="174"/>
      <c r="I14" s="174"/>
    </row>
    <row r="15" spans="1:9" x14ac:dyDescent="0.2">
      <c r="A15" s="13" t="s">
        <v>37</v>
      </c>
      <c r="D15" s="15"/>
    </row>
    <row r="16" spans="1:9" x14ac:dyDescent="0.2">
      <c r="A16" s="27" t="s">
        <v>45</v>
      </c>
      <c r="B16" s="39"/>
      <c r="C16" s="60" t="s">
        <v>83</v>
      </c>
      <c r="D16" s="15"/>
    </row>
    <row r="17" spans="1:10" x14ac:dyDescent="0.2">
      <c r="A17" s="10" t="s">
        <v>72</v>
      </c>
      <c r="B17" s="39"/>
      <c r="C17" s="60" t="s">
        <v>73</v>
      </c>
      <c r="H17" s="12" t="s">
        <v>78</v>
      </c>
    </row>
    <row r="18" spans="1:10" x14ac:dyDescent="0.2">
      <c r="A18" s="10" t="s">
        <v>69</v>
      </c>
      <c r="B18" s="39"/>
      <c r="C18" s="14" t="s">
        <v>70</v>
      </c>
      <c r="D18" s="16" t="s">
        <v>77</v>
      </c>
      <c r="E18" s="14" t="str">
        <f>IF(B18="","",B18*0.14)</f>
        <v/>
      </c>
      <c r="F18" s="14" t="s">
        <v>73</v>
      </c>
      <c r="H18" s="10" t="s">
        <v>75</v>
      </c>
      <c r="I18" s="14" t="str">
        <f>IF(B18="","",IF(B19="",E18,E18-(I19-E19)))</f>
        <v/>
      </c>
      <c r="J18" s="14" t="s">
        <v>74</v>
      </c>
    </row>
    <row r="19" spans="1:10" x14ac:dyDescent="0.2">
      <c r="A19" s="10" t="s">
        <v>68</v>
      </c>
      <c r="B19" s="39"/>
      <c r="C19" s="14" t="s">
        <v>71</v>
      </c>
      <c r="D19" s="16" t="s">
        <v>77</v>
      </c>
      <c r="E19" s="14" t="str">
        <f>IF(B19="","",B19*0.00105)</f>
        <v/>
      </c>
      <c r="F19" s="14" t="s">
        <v>73</v>
      </c>
      <c r="H19" s="10" t="s">
        <v>76</v>
      </c>
      <c r="I19" s="14" t="str">
        <f>IF(B19="","",E19/0.95)</f>
        <v/>
      </c>
      <c r="J19" s="14" t="s">
        <v>74</v>
      </c>
    </row>
    <row r="20" spans="1:10" x14ac:dyDescent="0.2">
      <c r="A20" s="10" t="s">
        <v>57</v>
      </c>
      <c r="B20" s="39"/>
      <c r="C20" s="14" t="s">
        <v>56</v>
      </c>
      <c r="D20" s="45" t="s">
        <v>84</v>
      </c>
      <c r="I20" s="12" t="s">
        <v>79</v>
      </c>
    </row>
    <row r="21" spans="1:10" x14ac:dyDescent="0.2">
      <c r="A21" s="10" t="s">
        <v>35</v>
      </c>
      <c r="B21" s="39"/>
      <c r="C21" s="14" t="s">
        <v>36</v>
      </c>
    </row>
    <row r="22" spans="1:10" x14ac:dyDescent="0.2">
      <c r="B22" s="12" t="s">
        <v>39</v>
      </c>
    </row>
    <row r="24" spans="1:10" x14ac:dyDescent="0.2">
      <c r="B24" s="46" t="s">
        <v>63</v>
      </c>
    </row>
    <row r="25" spans="1:10" x14ac:dyDescent="0.2">
      <c r="B25" s="12" t="s">
        <v>65</v>
      </c>
      <c r="C25" s="41"/>
      <c r="D25" s="20" t="s">
        <v>58</v>
      </c>
      <c r="E25" s="44">
        <f>C25/1000</f>
        <v>0</v>
      </c>
      <c r="F25" s="20" t="s">
        <v>59</v>
      </c>
      <c r="G25" s="38" t="s">
        <v>60</v>
      </c>
    </row>
    <row r="26" spans="1:10" x14ac:dyDescent="0.2">
      <c r="B26" s="12" t="s">
        <v>64</v>
      </c>
      <c r="C26" s="41"/>
      <c r="D26" s="20" t="s">
        <v>58</v>
      </c>
      <c r="E26" s="44">
        <f>C26*0.14</f>
        <v>0</v>
      </c>
      <c r="F26" s="20" t="s">
        <v>55</v>
      </c>
      <c r="G26" s="38" t="s">
        <v>61</v>
      </c>
    </row>
  </sheetData>
  <sheetProtection password="DC15" sheet="1"/>
  <mergeCells count="2">
    <mergeCell ref="B2:F2"/>
    <mergeCell ref="E13:I14"/>
  </mergeCells>
  <phoneticPr fontId="5" type="noConversion"/>
  <pageMargins left="0.75" right="0.75" top="1" bottom="1" header="0.5" footer="0.5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3"/>
  <sheetViews>
    <sheetView zoomScale="115" workbookViewId="0">
      <selection activeCell="A2" sqref="A2"/>
    </sheetView>
  </sheetViews>
  <sheetFormatPr defaultRowHeight="12.75" x14ac:dyDescent="0.2"/>
  <cols>
    <col min="1" max="2" width="10.85546875" customWidth="1"/>
    <col min="3" max="3" width="9.42578125" customWidth="1"/>
    <col min="4" max="4" width="11.5703125" customWidth="1"/>
    <col min="6" max="6" width="9.7109375" customWidth="1"/>
    <col min="9" max="10" width="8.7109375" customWidth="1"/>
  </cols>
  <sheetData>
    <row r="1" spans="1:10" x14ac:dyDescent="0.2">
      <c r="A1" t="s">
        <v>67</v>
      </c>
    </row>
    <row r="3" spans="1:10" ht="15.75" x14ac:dyDescent="0.25">
      <c r="A3" s="175" t="s">
        <v>66</v>
      </c>
      <c r="B3" s="175"/>
      <c r="C3" s="175"/>
      <c r="D3" s="175"/>
      <c r="E3" s="175"/>
      <c r="F3" s="175"/>
      <c r="G3" s="175"/>
      <c r="H3" s="175"/>
    </row>
    <row r="4" spans="1:10" s="21" customFormat="1" x14ac:dyDescent="0.2">
      <c r="A4" s="184" t="s">
        <v>42</v>
      </c>
      <c r="B4" s="185"/>
      <c r="C4" s="186"/>
      <c r="D4" s="191" t="str">
        <f>'Unit Processes'!F9</f>
        <v xml:space="preserve"> </v>
      </c>
      <c r="E4" s="192"/>
      <c r="F4" s="192"/>
      <c r="G4" s="192"/>
      <c r="H4" s="192"/>
      <c r="I4" s="192"/>
      <c r="J4" s="193"/>
    </row>
    <row r="5" spans="1:10" s="21" customFormat="1" x14ac:dyDescent="0.2">
      <c r="A5" s="184" t="s">
        <v>43</v>
      </c>
      <c r="B5" s="185"/>
      <c r="C5" s="178"/>
      <c r="D5" s="191" t="e">
        <f>'Unit Processes'!#REF!</f>
        <v>#REF!</v>
      </c>
      <c r="E5" s="192"/>
      <c r="F5" s="192"/>
      <c r="G5" s="192"/>
      <c r="H5" s="192"/>
      <c r="I5" s="192"/>
      <c r="J5" s="193"/>
    </row>
    <row r="6" spans="1:10" s="21" customFormat="1" x14ac:dyDescent="0.2">
      <c r="A6" s="184" t="s">
        <v>44</v>
      </c>
      <c r="B6" s="185"/>
      <c r="C6" s="190"/>
      <c r="D6" s="191" t="e">
        <f>'Unit Processes'!#REF!</f>
        <v>#REF!</v>
      </c>
      <c r="E6" s="192"/>
      <c r="F6" s="192"/>
      <c r="G6" s="192"/>
      <c r="H6" s="192"/>
      <c r="I6" s="192"/>
      <c r="J6" s="193"/>
    </row>
    <row r="7" spans="1:10" x14ac:dyDescent="0.2">
      <c r="A7" s="176" t="s">
        <v>2</v>
      </c>
      <c r="B7" s="177"/>
      <c r="C7" s="178"/>
      <c r="D7" s="179" t="e">
        <f>IF('Permit Limits'!B16&gt;0,'Permit Limits'!B16,'Unit Processes'!#REF!)</f>
        <v>#REF!</v>
      </c>
      <c r="E7" s="180"/>
      <c r="F7" s="181" t="str">
        <f>'Unit Processes'!E9</f>
        <v>ton - tons</v>
      </c>
      <c r="G7" s="182"/>
      <c r="H7" s="183"/>
      <c r="I7" s="176" t="s">
        <v>3</v>
      </c>
      <c r="J7" s="178"/>
    </row>
    <row r="8" spans="1:10" x14ac:dyDescent="0.2">
      <c r="A8" s="8"/>
      <c r="B8" s="8"/>
      <c r="C8" s="8"/>
      <c r="D8" s="9"/>
      <c r="E8" s="7"/>
      <c r="F8" s="5"/>
      <c r="G8" s="5"/>
      <c r="H8" s="5"/>
      <c r="I8" s="6"/>
      <c r="J8" s="6"/>
    </row>
    <row r="9" spans="1:10" x14ac:dyDescent="0.2">
      <c r="A9" s="187" t="s">
        <v>4</v>
      </c>
      <c r="B9" s="188"/>
      <c r="C9" s="188"/>
      <c r="D9" s="188"/>
      <c r="E9" s="188"/>
      <c r="F9" s="188"/>
      <c r="G9" s="188"/>
      <c r="H9" s="188"/>
      <c r="I9" s="188"/>
      <c r="J9" s="186"/>
    </row>
    <row r="10" spans="1:10" x14ac:dyDescent="0.2">
      <c r="A10" s="1">
        <v>14</v>
      </c>
      <c r="B10" s="1">
        <v>15</v>
      </c>
      <c r="C10" s="1">
        <v>16</v>
      </c>
      <c r="D10" s="1">
        <v>17</v>
      </c>
      <c r="E10" s="1">
        <v>18</v>
      </c>
      <c r="F10" s="1">
        <v>19</v>
      </c>
      <c r="G10" s="1">
        <v>20</v>
      </c>
      <c r="H10" s="1">
        <v>21</v>
      </c>
      <c r="I10" s="1">
        <v>22</v>
      </c>
      <c r="J10" s="1">
        <v>23</v>
      </c>
    </row>
    <row r="11" spans="1:10" ht="67.5" x14ac:dyDescent="0.2">
      <c r="A11" s="3" t="s">
        <v>5</v>
      </c>
      <c r="B11" s="3" t="s">
        <v>6</v>
      </c>
      <c r="C11" s="3" t="s">
        <v>7</v>
      </c>
      <c r="D11" s="3" t="s">
        <v>8</v>
      </c>
      <c r="E11" s="3" t="s">
        <v>9</v>
      </c>
      <c r="F11" s="3" t="s">
        <v>10</v>
      </c>
      <c r="G11" s="3" t="s">
        <v>11</v>
      </c>
      <c r="H11" s="3" t="s">
        <v>12</v>
      </c>
      <c r="I11" s="3" t="s">
        <v>13</v>
      </c>
      <c r="J11" s="3" t="s">
        <v>14</v>
      </c>
    </row>
    <row r="12" spans="1:10" x14ac:dyDescent="0.2">
      <c r="A12" s="4" t="s">
        <v>15</v>
      </c>
      <c r="B12" s="22" t="str">
        <f>IF('Unit Processes'!H9&gt;0,IF('Unit Processes'!H9&gt;'Unit Processes'!H13,'Unit Processes'!H9," "),"")</f>
        <v xml:space="preserve"> </v>
      </c>
      <c r="C12" s="23" t="str">
        <f>IF(B12=" "," ",'Unit Processes'!I9)</f>
        <v xml:space="preserve"> </v>
      </c>
      <c r="D12" s="49" t="str">
        <f>IF(B12=" "," ",'Unit Processes'!J9)</f>
        <v xml:space="preserve"> </v>
      </c>
      <c r="E12" s="61"/>
      <c r="F12" s="25" t="str">
        <f>IF(B12=" "," ",$D$7*B12)</f>
        <v xml:space="preserve"> </v>
      </c>
      <c r="G12" s="24"/>
      <c r="H12" s="61"/>
      <c r="I12" s="25"/>
      <c r="J12" s="35" t="str">
        <f>IF(B12=" "," ",IF('Permit Limits'!B17&gt;0,'Permit Limits'!B17*B12/2000,IF('Permit Limits'!B18&gt;0,'Permit Limits'!I18*B12/2000,IF('Permit Limits'!B21&gt;0,'Permit Limits'!B21*D7*B13/2000,IF('Permit Limits'!C8=99,'INV-3'!B12*61875/2000,F12*8760/2000)))))</f>
        <v xml:space="preserve"> </v>
      </c>
    </row>
    <row r="13" spans="1:10" x14ac:dyDescent="0.2">
      <c r="A13" s="4" t="s">
        <v>16</v>
      </c>
      <c r="B13" s="22" t="str">
        <f>IF('Unit Processes'!H10&gt;0,'Unit Processes'!H10," ")</f>
        <v xml:space="preserve"> </v>
      </c>
      <c r="C13" s="23" t="str">
        <f>IF('Unit Processes'!H10=" "," ",'Unit Processes'!I10)</f>
        <v xml:space="preserve"> </v>
      </c>
      <c r="D13" s="49" t="str">
        <f>IF('Unit Processes'!H10&gt;0,'Unit Processes'!J10," ")</f>
        <v xml:space="preserve"> </v>
      </c>
      <c r="E13" s="61"/>
      <c r="F13" s="25" t="str">
        <f>IF('Unit Processes'!H10=" "," ",$D$7*B13)</f>
        <v xml:space="preserve"> </v>
      </c>
      <c r="G13" s="24"/>
      <c r="H13" s="61"/>
      <c r="I13" s="25" t="str">
        <f>IF('Permit Limits'!B6&gt;0,'Permit Limits'!B6," ")</f>
        <v xml:space="preserve"> </v>
      </c>
      <c r="J13" s="35" t="str">
        <f>IF('Unit Processes'!H10=" "," ",IF('Permit Limits'!C6&gt;0,'Permit Limits'!C6,IF('Permit Limits'!B17&gt;0,'Permit Limits'!B17*B13/2000,IF('Permit Limits'!B18&gt;0,'Permit Limits'!I18*B13/2000,IF('Permit Limits'!B21&gt;0,IF('Permit Limits'!B6&gt;0,('Permit Limits'!B6*'Permit Limits'!B21/2000),'Permit Limits'!B21*D7*B13/2000),IF('Permit Limits'!B6&gt;0,'Permit Limits'!B6*8760/2000,IF('Permit Limits'!C8=99,B13*61875/2000,F13*8760/2000)))))))</f>
        <v xml:space="preserve"> </v>
      </c>
    </row>
    <row r="14" spans="1:10" x14ac:dyDescent="0.2">
      <c r="A14" s="4" t="s">
        <v>17</v>
      </c>
      <c r="B14" s="22" t="e">
        <f>IF('Unit Processes'!#REF!&gt;0,'Unit Processes'!#REF!," ")</f>
        <v>#REF!</v>
      </c>
      <c r="C14" s="23" t="e">
        <f>IF('Unit Processes'!#REF!=" "," ",'Unit Processes'!#REF!)</f>
        <v>#REF!</v>
      </c>
      <c r="D14" s="49" t="e">
        <f>IF('Unit Processes'!#REF!&gt;0,'Unit Processes'!#REF!," ")</f>
        <v>#REF!</v>
      </c>
      <c r="E14" s="22" t="str">
        <f>IF('Unit Processes'!C9="Diesel Fuel Combustion ≤ 600 bhp","",IF('Unit Processes'!C9="","",IF('Permit Limits'!B20&gt;0,'Permit Limits'!B20,IF('Unit Processes'!D10&gt;0,IF('Unit Processes'!D10&gt;0.5,0.5,'Unit Processes'!D10),0.5))))</f>
        <v/>
      </c>
      <c r="F14" s="25" t="e">
        <f>IF('Unit Processes'!#REF!=" "," ",IF('Unit Processes'!C9="Diesel Fuel Combustion ≤ 600 bhp",B14*D7,""))</f>
        <v>#REF!</v>
      </c>
      <c r="G14" s="24"/>
      <c r="H14" s="33"/>
      <c r="I14" s="25" t="str">
        <f>IF('Permit Limits'!B7&gt;0,'Permit Limits'!B7,IF('Unit Processes'!C9="Diesel Fuel Combustion &gt; 600 bhp",B14*E14*D7,""))</f>
        <v/>
      </c>
      <c r="J14" s="25" t="e">
        <f>IF('Unit Processes'!#REF!=" "," ",IF('Permit Limits'!C7&gt;0,'Permit Limits'!C7,IF('Permit Limits'!B17&gt;0,'Permit Limits'!B17*B14*E14/2000,IF('Permit Limits'!B18&gt;0,'Permit Limits'!I18*B14*E14/2000,IF('Permit Limits'!B21&gt;0,IF('Permit Limits'!B7&gt;0,('Permit Limits'!B7*'Permit Limits'!B21/2000),'Permit Limits'!B21*D7*B14*E14/2000),IF('Permit Limits'!B7&gt;0,'Permit Limits'!B7*8760/2000,IF('Permit Limits'!C8=99,B14*E14*61875/2000,IF(I14&gt;0,I14*8760/2000,F14*8760/2000))))))))</f>
        <v>#REF!</v>
      </c>
    </row>
    <row r="15" spans="1:10" x14ac:dyDescent="0.2">
      <c r="A15" s="4" t="s">
        <v>18</v>
      </c>
      <c r="B15" s="22" t="e">
        <f>IF('Unit Processes'!#REF!&gt;0,'Unit Processes'!#REF!," ")</f>
        <v>#REF!</v>
      </c>
      <c r="C15" s="23" t="e">
        <f>IF('Unit Processes'!#REF!=" "," ",'Unit Processes'!#REF!)</f>
        <v>#REF!</v>
      </c>
      <c r="D15" s="49" t="e">
        <f>IF('Unit Processes'!#REF!&gt;0,'Unit Processes'!#REF!," ")</f>
        <v>#REF!</v>
      </c>
      <c r="E15" s="2"/>
      <c r="F15" s="25" t="e">
        <f>IF('Unit Processes'!#REF!= " "," ",$D$7*B15)</f>
        <v>#REF!</v>
      </c>
      <c r="G15" s="24"/>
      <c r="H15" s="2"/>
      <c r="I15" s="22" t="str">
        <f>IF('Permit Limits'!B8&gt;0,'Permit Limits'!B8," ")</f>
        <v xml:space="preserve"> </v>
      </c>
      <c r="J15" s="25" t="e">
        <f>IF('Unit Processes'!#REF!=" "," ",IF('Permit Limits'!C8&gt;0,'Permit Limits'!C8,IF('Permit Limits'!B17&gt;0,'Permit Limits'!B17*B15/2000,IF('Permit Limits'!B18&gt;0,'Permit Limits'!I18*B15/2000,IF('Permit Limits'!B21&gt;0,IF('Permit Limits'!B8&gt;0,('Permit Limits'!B21*'Permit Limits'!B8/2000),'Permit Limits'!B21*D7*B15/2000),IF('Permit Limits'!B8&gt;0,'Permit Limits'!B8*8760/2000,IF('Permit Limits'!C8=99,B15*61875/2000,F15*8760/2000)))))))</f>
        <v>#REF!</v>
      </c>
    </row>
    <row r="16" spans="1:10" x14ac:dyDescent="0.2">
      <c r="A16" s="4" t="s">
        <v>19</v>
      </c>
      <c r="B16" s="22"/>
      <c r="C16" s="23"/>
      <c r="D16" s="49"/>
      <c r="E16" s="2"/>
      <c r="F16" s="25"/>
      <c r="G16" s="24"/>
      <c r="H16" s="2"/>
      <c r="I16" s="22"/>
      <c r="J16" s="25"/>
    </row>
    <row r="17" spans="1:11" x14ac:dyDescent="0.2">
      <c r="A17" s="4" t="s">
        <v>20</v>
      </c>
      <c r="B17" s="22"/>
      <c r="C17" s="23"/>
      <c r="D17" s="49"/>
      <c r="E17" s="2"/>
      <c r="F17" s="25"/>
      <c r="G17" s="24"/>
      <c r="H17" s="2"/>
      <c r="I17" s="22"/>
      <c r="J17" s="25"/>
    </row>
    <row r="18" spans="1:11" x14ac:dyDescent="0.2">
      <c r="A18" s="4" t="s">
        <v>21</v>
      </c>
      <c r="B18" s="22"/>
      <c r="C18" s="23"/>
      <c r="D18" s="51"/>
      <c r="E18" s="2"/>
      <c r="F18" s="22"/>
      <c r="G18" s="24"/>
      <c r="H18" s="2"/>
      <c r="I18" s="22"/>
      <c r="J18" s="25"/>
    </row>
    <row r="19" spans="1:11" x14ac:dyDescent="0.2">
      <c r="A19" s="4" t="s">
        <v>22</v>
      </c>
      <c r="B19" s="22"/>
      <c r="C19" s="23"/>
      <c r="D19" s="52"/>
      <c r="E19" s="2"/>
      <c r="G19" s="24"/>
      <c r="H19" s="2"/>
      <c r="I19" s="22"/>
      <c r="J19" s="54"/>
    </row>
    <row r="20" spans="1:11" x14ac:dyDescent="0.2">
      <c r="A20" s="187" t="s">
        <v>23</v>
      </c>
      <c r="B20" s="188"/>
      <c r="C20" s="188"/>
      <c r="D20" s="188"/>
      <c r="E20" s="188"/>
      <c r="F20" s="188"/>
      <c r="G20" s="188"/>
      <c r="H20" s="188"/>
      <c r="I20" s="188"/>
      <c r="J20" s="189"/>
      <c r="K20" t="s">
        <v>62</v>
      </c>
    </row>
    <row r="21" spans="1:11" ht="14.25" customHeight="1" x14ac:dyDescent="0.2">
      <c r="A21" s="3" t="e">
        <f>IF('Unit Processes'!#REF!="","",'Unit Processes'!#REF!)</f>
        <v>#REF!</v>
      </c>
      <c r="B21" s="59" t="e">
        <f>IF('Unit Processes'!#REF!="","",'Unit Processes'!#REF!)</f>
        <v>#REF!</v>
      </c>
      <c r="C21" s="37" t="e">
        <f>IF('Unit Processes'!#REF!=" "," ",'Unit Processes'!#REF!)</f>
        <v>#REF!</v>
      </c>
      <c r="D21" s="53" t="e">
        <f>IF('Unit Processes'!#REF!&gt;0,'Unit Processes'!#REF!," ")</f>
        <v>#REF!</v>
      </c>
      <c r="E21" s="34"/>
      <c r="F21" s="25" t="e">
        <f>IF('Unit Processes'!#REF!= " "," ",$D$7*B21)</f>
        <v>#REF!</v>
      </c>
      <c r="G21" s="22"/>
      <c r="H21" s="34"/>
      <c r="I21" s="22"/>
      <c r="J21" s="25" t="e">
        <f>IF('Unit Processes'!#REF!=" "," ",IF('Permit Limits'!$C$12&gt;0,'Permit Limits'!$C$12,IF('Permit Limits'!$B$17&gt;0,'Permit Limits'!$B$17*B21/2000,IF('Permit Limits'!$B$18&gt;0,'Permit Limits'!$I$18*B21/2000,IF('Permit Limits'!$B$21&gt;0,IF('Permit Limits'!$B$8&gt;0,('Permit Limits'!$B$21*'Permit Limits'!$B$8/2000),'Permit Limits'!$B$21*$D$7*B21/2000),IF('Permit Limits'!$B$12&gt;0,'Permit Limits'!$B$12*8760/2000,IF('Permit Limits'!C8=99,B21*61875/2000,F21*8760/2000)))))))</f>
        <v>#REF!</v>
      </c>
    </row>
    <row r="22" spans="1:11" ht="12.75" customHeight="1" x14ac:dyDescent="0.2">
      <c r="A22" s="3" t="e">
        <f>IF('Unit Processes'!#REF!="","",'Unit Processes'!#REF!)</f>
        <v>#REF!</v>
      </c>
      <c r="B22" s="59" t="e">
        <f>IF('Unit Processes'!#REF!="","",'Unit Processes'!#REF!)</f>
        <v>#REF!</v>
      </c>
      <c r="C22" s="37" t="e">
        <f>IF('Unit Processes'!#REF!=" "," ",'Unit Processes'!#REF!)</f>
        <v>#REF!</v>
      </c>
      <c r="D22" s="53" t="e">
        <f>IF('Unit Processes'!#REF!&gt;0,'Unit Processes'!#REF!," ")</f>
        <v>#REF!</v>
      </c>
      <c r="E22" s="34"/>
      <c r="F22" s="25" t="e">
        <f>IF('Unit Processes'!#REF!= " "," ",$D$7*B22)</f>
        <v>#REF!</v>
      </c>
      <c r="G22" s="22"/>
      <c r="H22" s="34"/>
      <c r="I22" s="22"/>
      <c r="J22" s="25" t="e">
        <f>IF('Unit Processes'!#REF!=" "," ",IF('Permit Limits'!$C$12&gt;0,'Permit Limits'!$C$12,IF('Permit Limits'!$B$17&gt;0,'Permit Limits'!$B$17*B22/2000,IF('Permit Limits'!$B$18&gt;0,'Permit Limits'!$I$18*B22/2000,IF('Permit Limits'!$B$21&gt;0,IF('Permit Limits'!$B$8&gt;0,('Permit Limits'!$B$21*'Permit Limits'!$B$8/2000),'Permit Limits'!$B$21*$D$7*B22/2000),IF('Permit Limits'!$B$12&gt;0,'Permit Limits'!$B$12*8760/2000,IF('Permit Limits'!C8=99,B22*61875/2000,F22*8760/2000)))))))</f>
        <v>#REF!</v>
      </c>
    </row>
    <row r="23" spans="1:11" ht="14.25" customHeight="1" x14ac:dyDescent="0.2">
      <c r="A23" s="3"/>
      <c r="B23" s="32"/>
      <c r="C23" s="37"/>
      <c r="D23" s="53"/>
      <c r="E23" s="34"/>
      <c r="F23" s="25"/>
      <c r="G23" s="22"/>
      <c r="H23" s="34"/>
      <c r="I23" s="22"/>
      <c r="J23" s="35"/>
    </row>
    <row r="24" spans="1:11" ht="14.25" customHeight="1" x14ac:dyDescent="0.2">
      <c r="A24" s="3"/>
      <c r="B24" s="32"/>
      <c r="C24" s="37"/>
      <c r="D24" s="53"/>
      <c r="E24" s="34"/>
      <c r="F24" s="25"/>
      <c r="G24" s="22"/>
      <c r="H24" s="34"/>
      <c r="I24" s="22"/>
      <c r="J24" s="35"/>
    </row>
    <row r="25" spans="1:11" ht="14.25" customHeight="1" x14ac:dyDescent="0.2">
      <c r="A25" s="3"/>
      <c r="B25" s="32"/>
      <c r="C25" s="37"/>
      <c r="D25" s="53"/>
      <c r="E25" s="34"/>
      <c r="F25" s="25"/>
      <c r="G25" s="22"/>
      <c r="H25" s="34"/>
      <c r="I25" s="22"/>
      <c r="J25" s="35"/>
    </row>
    <row r="26" spans="1:11" x14ac:dyDescent="0.2">
      <c r="A26" s="58" t="s">
        <v>81</v>
      </c>
    </row>
    <row r="27" spans="1:11" x14ac:dyDescent="0.2">
      <c r="A27" s="58"/>
    </row>
    <row r="29" spans="1:11" ht="15.75" x14ac:dyDescent="0.25">
      <c r="A29" s="194" t="s">
        <v>66</v>
      </c>
      <c r="B29" s="195"/>
      <c r="C29" s="195"/>
      <c r="D29" s="195"/>
      <c r="E29" s="195"/>
      <c r="F29" s="195"/>
      <c r="G29" s="195"/>
      <c r="H29" s="195"/>
    </row>
    <row r="30" spans="1:11" x14ac:dyDescent="0.2">
      <c r="A30" s="184" t="s">
        <v>42</v>
      </c>
      <c r="B30" s="185"/>
      <c r="C30" s="186"/>
      <c r="D30" s="191" t="str">
        <f>'Unit Processes'!F13</f>
        <v xml:space="preserve"> </v>
      </c>
      <c r="E30" s="192"/>
      <c r="F30" s="192"/>
      <c r="G30" s="192"/>
      <c r="H30" s="192"/>
      <c r="I30" s="192"/>
      <c r="J30" s="193"/>
    </row>
    <row r="31" spans="1:11" x14ac:dyDescent="0.2">
      <c r="A31" s="184" t="s">
        <v>43</v>
      </c>
      <c r="B31" s="185"/>
      <c r="C31" s="178"/>
      <c r="D31" s="191" t="str">
        <f>'Unit Processes'!A13</f>
        <v>Feed Loadout</v>
      </c>
      <c r="E31" s="192"/>
      <c r="F31" s="192"/>
      <c r="G31" s="192"/>
      <c r="H31" s="192"/>
      <c r="I31" s="192"/>
      <c r="J31" s="193"/>
    </row>
    <row r="32" spans="1:11" x14ac:dyDescent="0.2">
      <c r="A32" s="184" t="s">
        <v>44</v>
      </c>
      <c r="B32" s="185"/>
      <c r="C32" s="190"/>
      <c r="D32" s="191" t="str">
        <f>'Unit Processes'!A17</f>
        <v>Mixer</v>
      </c>
      <c r="E32" s="192"/>
      <c r="F32" s="192"/>
      <c r="G32" s="192"/>
      <c r="H32" s="192"/>
      <c r="I32" s="192"/>
      <c r="J32" s="193"/>
    </row>
    <row r="33" spans="1:10" x14ac:dyDescent="0.2">
      <c r="A33" s="176" t="s">
        <v>2</v>
      </c>
      <c r="B33" s="177"/>
      <c r="C33" s="178"/>
      <c r="D33" s="179" t="e">
        <f>IF('Permit Limits'!B16&gt;0,'Permit Limits'!B16,'Unit Processes'!#REF!)</f>
        <v>#REF!</v>
      </c>
      <c r="E33" s="180"/>
      <c r="F33" s="181" t="str">
        <f>'Unit Processes'!E13</f>
        <v>ton - tons</v>
      </c>
      <c r="G33" s="182"/>
      <c r="H33" s="183"/>
      <c r="I33" s="176" t="s">
        <v>3</v>
      </c>
      <c r="J33" s="178"/>
    </row>
    <row r="34" spans="1:10" x14ac:dyDescent="0.2">
      <c r="A34" s="8"/>
      <c r="B34" s="8"/>
      <c r="C34" s="8"/>
      <c r="D34" s="9"/>
      <c r="E34" s="7"/>
      <c r="F34" s="5"/>
      <c r="G34" s="5"/>
      <c r="H34" s="5"/>
      <c r="I34" s="6"/>
      <c r="J34" s="6"/>
    </row>
    <row r="35" spans="1:10" x14ac:dyDescent="0.2">
      <c r="A35" s="187" t="s">
        <v>4</v>
      </c>
      <c r="B35" s="188"/>
      <c r="C35" s="188"/>
      <c r="D35" s="188"/>
      <c r="E35" s="188"/>
      <c r="F35" s="188"/>
      <c r="G35" s="188"/>
      <c r="H35" s="188"/>
      <c r="I35" s="188"/>
      <c r="J35" s="189"/>
    </row>
    <row r="36" spans="1:10" x14ac:dyDescent="0.2">
      <c r="A36" s="1">
        <v>14</v>
      </c>
      <c r="B36" s="1">
        <v>15</v>
      </c>
      <c r="C36" s="1">
        <v>16</v>
      </c>
      <c r="D36" s="1">
        <v>17</v>
      </c>
      <c r="E36" s="1">
        <v>18</v>
      </c>
      <c r="F36" s="1">
        <v>19</v>
      </c>
      <c r="G36" s="1">
        <v>20</v>
      </c>
      <c r="H36" s="1">
        <v>21</v>
      </c>
      <c r="I36" s="1">
        <v>22</v>
      </c>
      <c r="J36" s="1">
        <v>23</v>
      </c>
    </row>
    <row r="37" spans="1:10" ht="67.5" x14ac:dyDescent="0.2">
      <c r="A37" s="3" t="s">
        <v>5</v>
      </c>
      <c r="B37" s="3" t="s">
        <v>6</v>
      </c>
      <c r="C37" s="3" t="s">
        <v>7</v>
      </c>
      <c r="D37" s="3" t="s">
        <v>8</v>
      </c>
      <c r="E37" s="3" t="s">
        <v>9</v>
      </c>
      <c r="F37" s="3" t="s">
        <v>10</v>
      </c>
      <c r="G37" s="3" t="s">
        <v>11</v>
      </c>
      <c r="H37" s="3" t="s">
        <v>12</v>
      </c>
      <c r="I37" s="3" t="s">
        <v>13</v>
      </c>
      <c r="J37" s="3" t="s">
        <v>14</v>
      </c>
    </row>
    <row r="38" spans="1:10" x14ac:dyDescent="0.2">
      <c r="A38" s="4" t="s">
        <v>15</v>
      </c>
      <c r="B38" s="22" t="str">
        <f>IF('Unit Processes'!H13&gt;0,IF('Unit Processes'!H13&gt;'Unit Processes'!H9,'Unit Processes'!H13," "),"")</f>
        <v xml:space="preserve"> </v>
      </c>
      <c r="C38" s="23" t="str">
        <f>IF(B38=" "," ",'Unit Processes'!I13)</f>
        <v xml:space="preserve"> </v>
      </c>
      <c r="D38" s="49" t="str">
        <f>IF(B38=" "," ",'Unit Processes'!J13)</f>
        <v xml:space="preserve"> </v>
      </c>
      <c r="E38" s="61"/>
      <c r="F38" s="25" t="str">
        <f>IF(B38=" "," ",$D$7*B38)</f>
        <v xml:space="preserve"> </v>
      </c>
      <c r="G38" s="24"/>
      <c r="H38" s="61"/>
      <c r="I38" s="28"/>
      <c r="J38" s="35" t="str">
        <f>IF(B38=" "," ",IF('Permit Limits'!B17&gt;0,'Permit Limits'!B17*B38/2000,IF('Permit Limits'!B19&gt;0,'Permit Limits'!I19*B38/2000,IF('Permit Limits'!B21&gt;0,'Permit Limits'!B21*D33*B38/2000,IF('Permit Limits'!C8=99,B38*73333.33/2000,F38*8760/2000)))))</f>
        <v xml:space="preserve"> </v>
      </c>
    </row>
    <row r="39" spans="1:10" x14ac:dyDescent="0.2">
      <c r="A39" s="4" t="s">
        <v>16</v>
      </c>
      <c r="B39" s="22"/>
      <c r="C39" s="23"/>
      <c r="D39" s="49"/>
      <c r="E39" s="61"/>
      <c r="F39" s="25"/>
      <c r="G39" s="24"/>
      <c r="H39" s="61"/>
      <c r="I39" s="28"/>
      <c r="J39" s="35"/>
    </row>
    <row r="40" spans="1:10" x14ac:dyDescent="0.2">
      <c r="A40" s="4" t="s">
        <v>17</v>
      </c>
      <c r="B40" s="22"/>
      <c r="C40" s="23"/>
      <c r="D40" s="49"/>
      <c r="E40" s="22"/>
      <c r="F40" s="25"/>
      <c r="G40" s="24"/>
      <c r="H40" s="33"/>
      <c r="I40" s="24"/>
      <c r="J40" s="25"/>
    </row>
    <row r="41" spans="1:10" x14ac:dyDescent="0.2">
      <c r="A41" s="4" t="s">
        <v>18</v>
      </c>
      <c r="B41" s="22"/>
      <c r="C41" s="23"/>
      <c r="D41" s="49"/>
      <c r="E41" s="2"/>
      <c r="F41" s="25"/>
      <c r="G41" s="24"/>
      <c r="H41" s="2"/>
      <c r="I41" s="24"/>
      <c r="J41" s="25"/>
    </row>
    <row r="42" spans="1:10" x14ac:dyDescent="0.2">
      <c r="A42" s="4" t="s">
        <v>19</v>
      </c>
      <c r="B42" s="22" t="e">
        <f>IF('Unit Processes'!#REF!&gt;0,'Unit Processes'!#REF!," ")</f>
        <v>#REF!</v>
      </c>
      <c r="C42" s="23" t="e">
        <f>IF('Unit Processes'!#REF!=" "," ",'Unit Processes'!#REF!)</f>
        <v>#REF!</v>
      </c>
      <c r="D42" s="49" t="e">
        <f>IF('Unit Processes'!#REF!&gt;0,'Unit Processes'!#REF!," ")</f>
        <v>#REF!</v>
      </c>
      <c r="E42" s="2"/>
      <c r="F42" s="25" t="str">
        <f>IF('Unit Processes'!J22=" "," ",$D$7*B42)</f>
        <v xml:space="preserve"> </v>
      </c>
      <c r="G42" s="24"/>
      <c r="H42" s="2"/>
      <c r="I42" s="24" t="str">
        <f>IF('Permit Limits'!B9&gt;0,'Permit Limits'!B9," ")</f>
        <v xml:space="preserve"> </v>
      </c>
      <c r="J42" s="25" t="e">
        <f>IF('Unit Processes'!#REF!=" "," ",IF('Permit Limits'!C9&gt;0,'Permit Limits'!C9,IF('Permit Limits'!$B$17&gt;0,'Permit Limits'!$B$17*B42/2000,IF('Permit Limits'!$B$19&gt;0,'Permit Limits'!$I$19*B42/2000,IF('Permit Limits'!$B$21&gt;0,IF('Permit Limits'!B9&gt;0,('Permit Limits'!$B$21*'Permit Limits'!B9/2000),'Permit Limits'!$B$21*$D$33*B42/2000),IF('Permit Limits'!B9&gt;0,'Permit Limits'!B9*8760/2000,IF('Permit Limits'!C8=99,B42*73333.33/2000,F42*8760/2000)))))))</f>
        <v>#REF!</v>
      </c>
    </row>
    <row r="43" spans="1:10" x14ac:dyDescent="0.2">
      <c r="A43" s="4" t="s">
        <v>20</v>
      </c>
      <c r="B43" s="22" t="e">
        <f>IF('Unit Processes'!#REF!&gt;0,'Unit Processes'!#REF!," ")</f>
        <v>#REF!</v>
      </c>
      <c r="C43" s="23" t="e">
        <f>IF('Unit Processes'!#REF!=" "," ",'Unit Processes'!#REF!)</f>
        <v>#REF!</v>
      </c>
      <c r="D43" s="49" t="e">
        <f>IF('Unit Processes'!#REF!&gt;0,'Unit Processes'!#REF!," ")</f>
        <v>#REF!</v>
      </c>
      <c r="E43" s="2"/>
      <c r="F43" s="25" t="e">
        <f>IF('Unit Processes'!J23=" "," ",$D$7*B43)</f>
        <v>#REF!</v>
      </c>
      <c r="G43" s="24"/>
      <c r="H43" s="2"/>
      <c r="I43" s="24" t="str">
        <f>IF('Permit Limits'!B10&gt;0,'Permit Limits'!B10," ")</f>
        <v xml:space="preserve"> </v>
      </c>
      <c r="J43" s="25" t="e">
        <f>IF('Unit Processes'!#REF!=" "," ",IF('Permit Limits'!C10&gt;0,'Permit Limits'!C10,IF('Permit Limits'!$B$17&gt;0,'Permit Limits'!$B$17*B43/2000,IF('Permit Limits'!$B$19&gt;0,'Permit Limits'!$I$19*B43/2000,IF('Permit Limits'!$B$21&gt;0,IF('Permit Limits'!B10&gt;0,('Permit Limits'!$B$21*'Permit Limits'!B10/2000),'Permit Limits'!$B$21*$D$33*B43/2000),IF('Permit Limits'!B10&gt;0,'Permit Limits'!B10*8760/2000,IF('Permit Limits'!C8=99,B43*73333.33/2000,F43*8760/2000)))))))</f>
        <v>#REF!</v>
      </c>
    </row>
    <row r="44" spans="1:10" x14ac:dyDescent="0.2">
      <c r="A44" s="4" t="s">
        <v>21</v>
      </c>
      <c r="B44" s="22"/>
      <c r="C44" s="23"/>
      <c r="D44" s="51"/>
      <c r="E44" s="2"/>
      <c r="F44" s="22"/>
      <c r="G44" s="24"/>
      <c r="H44" s="2"/>
      <c r="I44" s="24"/>
      <c r="J44" s="25"/>
    </row>
    <row r="45" spans="1:10" x14ac:dyDescent="0.2">
      <c r="A45" s="4" t="s">
        <v>22</v>
      </c>
      <c r="B45" s="22"/>
      <c r="C45" s="23"/>
      <c r="D45" s="52"/>
      <c r="E45" s="2"/>
      <c r="F45" s="25"/>
      <c r="G45" s="24"/>
      <c r="H45" s="2"/>
      <c r="I45" s="24"/>
      <c r="J45" s="25"/>
    </row>
    <row r="46" spans="1:10" x14ac:dyDescent="0.2">
      <c r="A46" s="187" t="s">
        <v>23</v>
      </c>
      <c r="B46" s="188"/>
      <c r="C46" s="188"/>
      <c r="D46" s="188"/>
      <c r="E46" s="188"/>
      <c r="F46" s="188"/>
      <c r="G46" s="188"/>
      <c r="H46" s="188"/>
      <c r="I46" s="188"/>
      <c r="J46" s="189"/>
    </row>
    <row r="47" spans="1:10" x14ac:dyDescent="0.2">
      <c r="A47" s="3" t="e">
        <f>IF('Unit Processes'!#REF!=" "," ",'Unit Processes'!#REF!)</f>
        <v>#REF!</v>
      </c>
      <c r="B47" s="32" t="e">
        <f>IF('Unit Processes'!#REF!&gt;0,'Unit Processes'!#REF!," ")</f>
        <v>#REF!</v>
      </c>
      <c r="C47" s="37" t="e">
        <f>IF('Unit Processes'!#REF!=" "," ",'Unit Processes'!#REF!)</f>
        <v>#REF!</v>
      </c>
      <c r="D47" s="53" t="e">
        <f>IF('Unit Processes'!#REF!&gt;0,'Unit Processes'!#REF!," ")</f>
        <v>#REF!</v>
      </c>
      <c r="E47" s="34"/>
      <c r="F47" s="25" t="e">
        <f>IF('Unit Processes'!#REF!=" "," ",$D$33*B47)</f>
        <v>#REF!</v>
      </c>
      <c r="G47" s="22"/>
      <c r="H47" s="34"/>
      <c r="I47" s="22" t="e">
        <f>IF('Unit Processes'!#REF!=" "," ",IF('Permit Limits'!$B$12&gt;0,'Permit Limits'!$B$12," "))</f>
        <v>#REF!</v>
      </c>
      <c r="J47" s="35" t="e">
        <f>IF('Unit Processes'!#REF!=" "," ",IF('Permit Limits'!$C$12&gt;0,'Permit Limits'!$C$12,IF('Permit Limits'!$B$17&gt;0,'Permit Limits'!$B$17*B47/2000,IF('Permit Limits'!$B$19&gt;0,'Permit Limits'!$I$19*B47/2000,IF('Permit Limits'!$B$21&gt;0,IF('Permit Limits'!$B$12&gt;0,('Permit Limits'!$B$12*'Permit Limits'!$B$21/2000),'Permit Limits'!$B$21*$D$33*B47/2000),IF('Permit Limits'!$B$12&gt;0,'Permit Limits'!$B$12*8760/2000,IF('Permit Limits'!C8=99,B47*73333.33/2000,F47*8760/2000)))))))</f>
        <v>#REF!</v>
      </c>
    </row>
    <row r="48" spans="1:10" ht="14.25" customHeight="1" x14ac:dyDescent="0.2">
      <c r="A48" s="3" t="e">
        <f>IF('Unit Processes'!#REF!=" "," ",'Unit Processes'!#REF!)</f>
        <v>#REF!</v>
      </c>
      <c r="B48" s="32" t="e">
        <f>IF('Unit Processes'!#REF!&gt;0,'Unit Processes'!#REF!," ")</f>
        <v>#REF!</v>
      </c>
      <c r="C48" s="37" t="e">
        <f>IF('Unit Processes'!#REF!=" "," ",'Unit Processes'!#REF!)</f>
        <v>#REF!</v>
      </c>
      <c r="D48" s="53" t="e">
        <f>IF('Unit Processes'!#REF!&gt;0,'Unit Processes'!#REF!," ")</f>
        <v>#REF!</v>
      </c>
      <c r="E48" s="34"/>
      <c r="F48" s="25" t="e">
        <f>IF('Unit Processes'!#REF!=" "," ",$D$33*B48)</f>
        <v>#REF!</v>
      </c>
      <c r="G48" s="22"/>
      <c r="H48" s="34"/>
      <c r="I48" s="22" t="e">
        <f>IF('Unit Processes'!#REF!=" "," ",IF('Permit Limits'!$B$12&gt;0,'Permit Limits'!$B$12," "))</f>
        <v>#REF!</v>
      </c>
      <c r="J48" s="35" t="e">
        <f>IF('Unit Processes'!#REF!=" "," ",IF('Permit Limits'!$C$12&gt;0,'Permit Limits'!$C$12,IF('Permit Limits'!$B$17&gt;0,'Permit Limits'!$B$17*B48/2000,IF('Permit Limits'!$B$19&gt;0,'Permit Limits'!$I$19*B48/2000,IF('Permit Limits'!$B$21&gt;0,IF('Permit Limits'!$B$12&gt;0,('Permit Limits'!$B$12*'Permit Limits'!$B$21/2000),'Permit Limits'!$B$21*$D$33*B48/2000),IF('Permit Limits'!$B$12&gt;0,'Permit Limits'!$B$12*8760/2000,IF('Permit Limits'!C8=99,B48*73333.33/2000,F48*8760/2000)))))))</f>
        <v>#REF!</v>
      </c>
    </row>
    <row r="49" spans="1:10" x14ac:dyDescent="0.2">
      <c r="A49" s="3" t="e">
        <f>IF('Unit Processes'!#REF!=" "," ",'Unit Processes'!#REF!)</f>
        <v>#REF!</v>
      </c>
      <c r="B49" s="32" t="e">
        <f>IF('Unit Processes'!#REF!&gt;0,'Unit Processes'!#REF!," ")</f>
        <v>#REF!</v>
      </c>
      <c r="C49" s="37" t="e">
        <f>IF('Unit Processes'!#REF!=" "," ",'Unit Processes'!#REF!)</f>
        <v>#REF!</v>
      </c>
      <c r="D49" s="53" t="e">
        <f>IF('Unit Processes'!#REF!&gt;0,'Unit Processes'!#REF!," ")</f>
        <v>#REF!</v>
      </c>
      <c r="E49" s="34"/>
      <c r="F49" s="25" t="e">
        <f>IF('Unit Processes'!#REF!=" "," ",$D$33*B49)</f>
        <v>#REF!</v>
      </c>
      <c r="G49" s="22"/>
      <c r="H49" s="34"/>
      <c r="I49" s="22" t="e">
        <f>IF('Unit Processes'!#REF!=" "," ",IF('Permit Limits'!$B$12&gt;0,'Permit Limits'!$B$12," "))</f>
        <v>#REF!</v>
      </c>
      <c r="J49" s="35" t="e">
        <f>IF('Unit Processes'!#REF!=" "," ",IF('Permit Limits'!$C$12&gt;0,'Permit Limits'!$C$12,IF('Permit Limits'!$B$17&gt;0,'Permit Limits'!$B$17*B49/2000,IF('Permit Limits'!$B$19&gt;0,'Permit Limits'!$I$19*B49/2000,IF('Permit Limits'!$B$21&gt;0,IF('Permit Limits'!$B$12&gt;0,('Permit Limits'!$B$12*'Permit Limits'!$B$21/2000),'Permit Limits'!$B$21*$D$33*B49/2000),IF('Permit Limits'!$B$12&gt;0,'Permit Limits'!$B$12*8760/2000,IF('Permit Limits'!C8=99,B49*73333.33/2000,F49*8760/2000)))))))</f>
        <v>#REF!</v>
      </c>
    </row>
    <row r="50" spans="1:10" x14ac:dyDescent="0.2">
      <c r="A50" s="3" t="e">
        <f>IF('Unit Processes'!#REF!=" "," ",'Unit Processes'!#REF!)</f>
        <v>#REF!</v>
      </c>
      <c r="B50" s="32" t="e">
        <f>IF('Unit Processes'!#REF!&gt;0,'Unit Processes'!#REF!," ")</f>
        <v>#REF!</v>
      </c>
      <c r="C50" s="37" t="e">
        <f>IF('Unit Processes'!#REF!=" "," ",'Unit Processes'!#REF!)</f>
        <v>#REF!</v>
      </c>
      <c r="D50" s="53" t="e">
        <f>IF('Unit Processes'!#REF!&gt;0,'Unit Processes'!#REF!," ")</f>
        <v>#REF!</v>
      </c>
      <c r="E50" s="34"/>
      <c r="F50" s="25" t="e">
        <f>IF('Unit Processes'!#REF!=" "," ",$D$33*B50)</f>
        <v>#REF!</v>
      </c>
      <c r="G50" s="22"/>
      <c r="H50" s="34"/>
      <c r="I50" s="22"/>
      <c r="J50" s="35" t="e">
        <f>IF('Unit Processes'!#REF!=" "," ",IF('Permit Limits'!$C$12&gt;0,'Permit Limits'!$C$12,IF('Permit Limits'!$B$17&gt;0,'Permit Limits'!$B$17*B50/2000,IF('Permit Limits'!$B$19&gt;0,'Permit Limits'!$I$19*B50/2000,IF('Permit Limits'!$B$21&gt;0,IF('Permit Limits'!$B$12&gt;0,('Permit Limits'!$B$12*'Permit Limits'!$B$21/2000),'Permit Limits'!$B$21*$D$33*B50/2000),IF('Permit Limits'!$B$12&gt;0,'Permit Limits'!$B$12*8760/2000,IF('Permit Limits'!C8=99,B50*73333.33/2000,F50*8760/2000)))))))</f>
        <v>#REF!</v>
      </c>
    </row>
    <row r="51" spans="1:10" x14ac:dyDescent="0.2">
      <c r="A51" s="3" t="e">
        <f>IF('Unit Processes'!#REF!=" "," ",'Unit Processes'!#REF!)</f>
        <v>#REF!</v>
      </c>
      <c r="B51" s="32" t="e">
        <f>IF('Unit Processes'!#REF!&gt;0,'Unit Processes'!#REF!," ")</f>
        <v>#REF!</v>
      </c>
      <c r="C51" s="37" t="e">
        <f>IF('Unit Processes'!#REF!=" "," ",'Unit Processes'!#REF!)</f>
        <v>#REF!</v>
      </c>
      <c r="D51" s="53" t="e">
        <f>IF('Unit Processes'!#REF!&gt;0,'Unit Processes'!#REF!," ")</f>
        <v>#REF!</v>
      </c>
      <c r="E51" s="34"/>
      <c r="F51" s="25" t="e">
        <f>IF('Unit Processes'!#REF!=" "," ",$D$33*B51)</f>
        <v>#REF!</v>
      </c>
      <c r="G51" s="22"/>
      <c r="H51" s="34"/>
      <c r="I51" s="22"/>
      <c r="J51" s="35" t="e">
        <f>IF('Unit Processes'!#REF!=" "," ",IF('Permit Limits'!$C$12&gt;0,'Permit Limits'!$C$12,IF('Permit Limits'!$B$17&gt;0,'Permit Limits'!$B$17*B51/2000,IF('Permit Limits'!$B$19&gt;0,'Permit Limits'!$I$19*B51/2000,IF('Permit Limits'!$B$21&gt;0,IF('Permit Limits'!$B$12&gt;0,('Permit Limits'!$B$12*'Permit Limits'!$B$21/2000),'Permit Limits'!$B$21*$D$33*B51/2000),IF('Permit Limits'!$B$12&gt;0,'Permit Limits'!$B$12*8760/2000,IF('Permit Limits'!C8=99,B51*73333.33/2000,F51*8760/2000)))))))</f>
        <v>#REF!</v>
      </c>
    </row>
    <row r="52" spans="1:10" x14ac:dyDescent="0.2">
      <c r="A52" s="58" t="s">
        <v>80</v>
      </c>
    </row>
    <row r="53" spans="1:10" x14ac:dyDescent="0.2">
      <c r="A53" s="58"/>
    </row>
  </sheetData>
  <sheetProtection password="DC15" sheet="1"/>
  <mergeCells count="26">
    <mergeCell ref="A9:J9"/>
    <mergeCell ref="D4:J4"/>
    <mergeCell ref="A5:C5"/>
    <mergeCell ref="D5:J5"/>
    <mergeCell ref="A6:C6"/>
    <mergeCell ref="D6:J6"/>
    <mergeCell ref="I7:J7"/>
    <mergeCell ref="A46:J46"/>
    <mergeCell ref="A31:C31"/>
    <mergeCell ref="A32:C32"/>
    <mergeCell ref="A33:C33"/>
    <mergeCell ref="A20:J20"/>
    <mergeCell ref="A35:J35"/>
    <mergeCell ref="D32:J32"/>
    <mergeCell ref="D31:J31"/>
    <mergeCell ref="A29:H29"/>
    <mergeCell ref="A30:C30"/>
    <mergeCell ref="D30:J30"/>
    <mergeCell ref="D33:E33"/>
    <mergeCell ref="F33:H33"/>
    <mergeCell ref="I33:J33"/>
    <mergeCell ref="A3:H3"/>
    <mergeCell ref="A7:C7"/>
    <mergeCell ref="D7:E7"/>
    <mergeCell ref="F7:H7"/>
    <mergeCell ref="A4:C4"/>
  </mergeCells>
  <phoneticPr fontId="5" type="noConversion"/>
  <pageMargins left="0.5" right="0.5" top="1" bottom="1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8"/>
  <sheetViews>
    <sheetView zoomScale="115" zoomScaleNormal="115" workbookViewId="0"/>
  </sheetViews>
  <sheetFormatPr defaultColWidth="9.140625" defaultRowHeight="12.75" x14ac:dyDescent="0.2"/>
  <cols>
    <col min="1" max="1" width="28.28515625" style="74" customWidth="1"/>
    <col min="2" max="2" width="29.140625" style="128" customWidth="1"/>
    <col min="3" max="3" width="11.42578125" style="74" customWidth="1"/>
    <col min="4" max="4" width="11.28515625" style="74" customWidth="1"/>
    <col min="5" max="5" width="13.85546875" style="74" customWidth="1"/>
    <col min="6" max="6" width="12.7109375" style="128" customWidth="1"/>
    <col min="7" max="16384" width="9.140625" style="74"/>
  </cols>
  <sheetData>
    <row r="1" spans="1:6" ht="15.75" x14ac:dyDescent="0.25">
      <c r="A1" s="73" t="s">
        <v>90</v>
      </c>
    </row>
    <row r="2" spans="1:6" x14ac:dyDescent="0.2">
      <c r="A2" s="75" t="s">
        <v>89</v>
      </c>
      <c r="B2" s="129"/>
      <c r="C2" s="76"/>
      <c r="D2" s="57"/>
      <c r="E2" s="57"/>
    </row>
    <row r="3" spans="1:6" ht="12.75" customHeight="1" x14ac:dyDescent="0.2"/>
    <row r="4" spans="1:6" ht="15.75" x14ac:dyDescent="0.25">
      <c r="A4" s="77" t="s">
        <v>91</v>
      </c>
      <c r="B4" s="130"/>
      <c r="C4" s="78"/>
      <c r="D4" s="78"/>
      <c r="E4" s="79"/>
    </row>
    <row r="5" spans="1:6" x14ac:dyDescent="0.2">
      <c r="A5" s="80" t="s">
        <v>92</v>
      </c>
      <c r="B5" s="131" t="str">
        <f>'Unit Processes'!F9</f>
        <v xml:space="preserve"> </v>
      </c>
      <c r="C5" s="81"/>
      <c r="E5" s="82"/>
      <c r="F5" s="162"/>
    </row>
    <row r="6" spans="1:6" x14ac:dyDescent="0.2">
      <c r="A6" s="83" t="s">
        <v>93</v>
      </c>
      <c r="B6" s="131">
        <f>'Unit Processes'!C9</f>
        <v>0</v>
      </c>
      <c r="C6" s="84"/>
      <c r="E6" s="85"/>
      <c r="F6" s="162"/>
    </row>
    <row r="7" spans="1:6" x14ac:dyDescent="0.2">
      <c r="A7" s="80" t="s">
        <v>94</v>
      </c>
      <c r="B7" s="132">
        <f>'Unit Processes'!D9</f>
        <v>0</v>
      </c>
      <c r="C7" s="81"/>
      <c r="E7" s="79"/>
    </row>
    <row r="8" spans="1:6" x14ac:dyDescent="0.2">
      <c r="A8" s="86" t="s">
        <v>95</v>
      </c>
      <c r="B8" s="131" t="str">
        <f>'Unit Processes'!E9</f>
        <v>ton - tons</v>
      </c>
      <c r="C8" s="87"/>
      <c r="E8" s="87"/>
    </row>
    <row r="9" spans="1:6" x14ac:dyDescent="0.2">
      <c r="A9" s="80" t="s">
        <v>96</v>
      </c>
      <c r="B9" s="133" t="s">
        <v>118</v>
      </c>
      <c r="C9" s="81"/>
      <c r="E9" s="88"/>
      <c r="F9" s="163"/>
    </row>
    <row r="10" spans="1:6" ht="9.75" customHeight="1" x14ac:dyDescent="0.2">
      <c r="A10" s="81"/>
      <c r="B10" s="134"/>
      <c r="C10" s="81"/>
      <c r="D10" s="89"/>
      <c r="E10" s="84"/>
    </row>
    <row r="11" spans="1:6" ht="14.25" x14ac:dyDescent="0.2">
      <c r="A11" s="77" t="s">
        <v>97</v>
      </c>
      <c r="B11" s="134"/>
      <c r="C11" s="81"/>
      <c r="D11" s="81"/>
      <c r="E11" s="81"/>
    </row>
    <row r="12" spans="1:6" ht="24.75" customHeight="1" x14ac:dyDescent="0.2">
      <c r="A12" s="90" t="s">
        <v>98</v>
      </c>
      <c r="B12" s="90" t="s">
        <v>87</v>
      </c>
      <c r="C12" s="90" t="s">
        <v>101</v>
      </c>
      <c r="D12" s="90" t="s">
        <v>7</v>
      </c>
      <c r="E12" s="90" t="s">
        <v>102</v>
      </c>
      <c r="F12" s="90" t="s">
        <v>141</v>
      </c>
    </row>
    <row r="13" spans="1:6" ht="22.5" x14ac:dyDescent="0.2">
      <c r="A13" s="91" t="s">
        <v>99</v>
      </c>
      <c r="B13" s="92" t="str">
        <f>IF('Unit Processes'!H9&gt;0,'Unit Processes'!K9," ")</f>
        <v xml:space="preserve"> </v>
      </c>
      <c r="C13" s="93" t="str">
        <f>IF('Unit Processes'!H9&gt;0,'Unit Processes'!H9," ")</f>
        <v xml:space="preserve"> </v>
      </c>
      <c r="D13" s="93" t="str">
        <f>IF('Unit Processes'!H9=" "," ",'Unit Processes'!I9)</f>
        <v xml:space="preserve"> </v>
      </c>
      <c r="E13" s="126" t="str">
        <f>IF('Unit Processes'!H9=" "," ",(IF('Unit Processes'!B9="",($B$7*C13/2000),($B$7*C13*((100-'Unit Processes'!B9)/100)/2000))))</f>
        <v xml:space="preserve"> </v>
      </c>
      <c r="F13" s="93" t="str">
        <f>IF('Unit Processes'!B9="","",'Unit Processes'!B9)</f>
        <v/>
      </c>
    </row>
    <row r="14" spans="1:6" s="121" customFormat="1" ht="13.5" thickBot="1" x14ac:dyDescent="0.25">
      <c r="A14" s="122" t="s">
        <v>100</v>
      </c>
      <c r="B14" s="123" t="str">
        <f>IF('Unit Processes'!H10&gt;0,'Unit Processes'!K10," ")</f>
        <v xml:space="preserve"> </v>
      </c>
      <c r="C14" s="124" t="str">
        <f>IF('Unit Processes'!H10&gt;0,'Unit Processes'!H10," ")</f>
        <v xml:space="preserve"> </v>
      </c>
      <c r="D14" s="124" t="str">
        <f>IF('Unit Processes'!H10=" "," ",'Unit Processes'!I10)</f>
        <v xml:space="preserve"> </v>
      </c>
      <c r="E14" s="127" t="str">
        <f>IF('Unit Processes'!H10=" "," ",(IF('Unit Processes'!B10="",(B7*C14/2000),(B7*C14*((100-'Unit Processes'!B10)/100)/2000))))</f>
        <v xml:space="preserve"> </v>
      </c>
      <c r="F14" s="124" t="str">
        <f>IF('Unit Processes'!B10="","",'Unit Processes'!B10)</f>
        <v/>
      </c>
    </row>
    <row r="16" spans="1:6" ht="15.75" x14ac:dyDescent="0.25">
      <c r="A16" s="77" t="s">
        <v>91</v>
      </c>
      <c r="B16" s="135"/>
      <c r="C16" s="78"/>
      <c r="D16" s="78"/>
      <c r="E16" s="79"/>
    </row>
    <row r="17" spans="1:6" x14ac:dyDescent="0.2">
      <c r="A17" s="80" t="s">
        <v>92</v>
      </c>
      <c r="B17" s="131" t="str">
        <f>'Unit Processes'!F13</f>
        <v xml:space="preserve"> </v>
      </c>
      <c r="C17" s="81"/>
      <c r="E17" s="82"/>
    </row>
    <row r="18" spans="1:6" x14ac:dyDescent="0.2">
      <c r="A18" s="83" t="s">
        <v>93</v>
      </c>
      <c r="B18" s="131">
        <f>'Unit Processes'!C13</f>
        <v>0</v>
      </c>
      <c r="C18" s="84"/>
      <c r="E18" s="82"/>
    </row>
    <row r="19" spans="1:6" x14ac:dyDescent="0.2">
      <c r="A19" s="80" t="s">
        <v>94</v>
      </c>
      <c r="B19" s="132">
        <f>'Unit Processes'!D13</f>
        <v>0</v>
      </c>
      <c r="C19" s="81"/>
      <c r="E19" s="87"/>
    </row>
    <row r="20" spans="1:6" x14ac:dyDescent="0.2">
      <c r="A20" s="86" t="s">
        <v>95</v>
      </c>
      <c r="B20" s="131" t="str">
        <f>'Unit Processes'!E13</f>
        <v>ton - tons</v>
      </c>
      <c r="C20" s="81"/>
      <c r="E20" s="87"/>
    </row>
    <row r="21" spans="1:6" x14ac:dyDescent="0.2">
      <c r="A21" s="80" t="s">
        <v>96</v>
      </c>
      <c r="B21" s="133" t="s">
        <v>118</v>
      </c>
      <c r="C21" s="81"/>
      <c r="E21" s="94"/>
    </row>
    <row r="22" spans="1:6" ht="8.25" customHeight="1" x14ac:dyDescent="0.2">
      <c r="A22" s="95"/>
      <c r="B22" s="134"/>
      <c r="C22" s="81"/>
      <c r="D22" s="89"/>
      <c r="E22" s="84"/>
    </row>
    <row r="23" spans="1:6" ht="14.25" x14ac:dyDescent="0.2">
      <c r="A23" s="96" t="s">
        <v>97</v>
      </c>
      <c r="B23" s="136"/>
      <c r="C23" s="97"/>
      <c r="D23" s="97"/>
      <c r="E23" s="97"/>
    </row>
    <row r="24" spans="1:6" ht="24.75" customHeight="1" x14ac:dyDescent="0.2">
      <c r="A24" s="98" t="s">
        <v>98</v>
      </c>
      <c r="B24" s="90" t="s">
        <v>87</v>
      </c>
      <c r="C24" s="90" t="s">
        <v>101</v>
      </c>
      <c r="D24" s="90" t="s">
        <v>7</v>
      </c>
      <c r="E24" s="90" t="s">
        <v>102</v>
      </c>
      <c r="F24" s="90" t="s">
        <v>141</v>
      </c>
    </row>
    <row r="25" spans="1:6" ht="22.5" x14ac:dyDescent="0.2">
      <c r="A25" s="91" t="s">
        <v>99</v>
      </c>
      <c r="B25" s="92" t="str">
        <f>IF('Unit Processes'!H13&gt;0,'Unit Processes'!K13," ")</f>
        <v xml:space="preserve"> </v>
      </c>
      <c r="C25" s="93" t="str">
        <f>IF('Unit Processes'!H13&gt;0,'Unit Processes'!H13," ")</f>
        <v xml:space="preserve"> </v>
      </c>
      <c r="D25" s="99" t="str">
        <f>IF('Unit Processes'!H13=" "," ",'Unit Processes'!I13)</f>
        <v xml:space="preserve"> </v>
      </c>
      <c r="E25" s="126" t="str">
        <f>IF('Unit Processes'!H13=" "," ",(IF('Unit Processes'!B13="",(B19*C25/2000),(B19*C25*((100-'Unit Processes'!B13)/100)/2000))))</f>
        <v xml:space="preserve"> </v>
      </c>
      <c r="F25" s="93" t="str">
        <f>IF('Unit Processes'!B13="","",'Unit Processes'!B13)</f>
        <v/>
      </c>
    </row>
    <row r="26" spans="1:6" s="121" customFormat="1" ht="13.5" thickBot="1" x14ac:dyDescent="0.25">
      <c r="A26" s="122" t="s">
        <v>100</v>
      </c>
      <c r="B26" s="123" t="str">
        <f>IF('Unit Processes'!H14&gt;0,'Unit Processes'!K14," ")</f>
        <v xml:space="preserve"> </v>
      </c>
      <c r="C26" s="124" t="str">
        <f>IF('Unit Processes'!H14&gt;0,'Unit Processes'!H14," ")</f>
        <v xml:space="preserve"> </v>
      </c>
      <c r="D26" s="125" t="str">
        <f>IF('Unit Processes'!H14=" "," ",'Unit Processes'!I14)</f>
        <v xml:space="preserve"> </v>
      </c>
      <c r="E26" s="161" t="str">
        <f>IF('Unit Processes'!H14=" "," ",(IF('Unit Processes'!B14="",(B19*C26/2000),(B19*C26*((100-'Unit Processes'!B14)/100)/2000))))</f>
        <v xml:space="preserve"> </v>
      </c>
      <c r="F26" s="124" t="str">
        <f>IF('Unit Processes'!B14="","",'Unit Processes'!B14)</f>
        <v/>
      </c>
    </row>
    <row r="27" spans="1:6" ht="13.5" customHeight="1" x14ac:dyDescent="0.2">
      <c r="A27" s="116"/>
      <c r="B27" s="117"/>
      <c r="C27" s="118"/>
      <c r="D27" s="119"/>
      <c r="E27" s="120"/>
    </row>
    <row r="28" spans="1:6" ht="13.5" customHeight="1" x14ac:dyDescent="0.25">
      <c r="A28" s="77" t="s">
        <v>91</v>
      </c>
      <c r="B28" s="130"/>
      <c r="C28" s="78"/>
      <c r="D28" s="78"/>
      <c r="E28" s="79"/>
    </row>
    <row r="29" spans="1:6" ht="13.5" customHeight="1" x14ac:dyDescent="0.2">
      <c r="A29" s="80" t="s">
        <v>92</v>
      </c>
      <c r="B29" s="131" t="str">
        <f>'Unit Processes'!F17</f>
        <v xml:space="preserve"> </v>
      </c>
      <c r="C29" s="81"/>
      <c r="E29" s="82"/>
    </row>
    <row r="30" spans="1:6" ht="13.5" customHeight="1" x14ac:dyDescent="0.2">
      <c r="A30" s="83" t="s">
        <v>93</v>
      </c>
      <c r="B30" s="131">
        <f>'Unit Processes'!C17</f>
        <v>0</v>
      </c>
      <c r="C30" s="84"/>
      <c r="E30" s="85"/>
    </row>
    <row r="31" spans="1:6" ht="13.5" customHeight="1" x14ac:dyDescent="0.2">
      <c r="A31" s="80" t="s">
        <v>94</v>
      </c>
      <c r="B31" s="132">
        <f>'Unit Processes'!D17</f>
        <v>0</v>
      </c>
      <c r="C31" s="81"/>
      <c r="E31" s="79"/>
    </row>
    <row r="32" spans="1:6" ht="13.5" customHeight="1" x14ac:dyDescent="0.2">
      <c r="A32" s="86" t="s">
        <v>95</v>
      </c>
      <c r="B32" s="131" t="str">
        <f>'Unit Processes'!E17</f>
        <v>ton - tons</v>
      </c>
      <c r="C32" s="87"/>
      <c r="E32" s="87"/>
    </row>
    <row r="33" spans="1:6" ht="13.5" customHeight="1" x14ac:dyDescent="0.2">
      <c r="A33" s="80" t="s">
        <v>96</v>
      </c>
      <c r="B33" s="133" t="s">
        <v>118</v>
      </c>
      <c r="C33" s="81"/>
      <c r="E33" s="88"/>
    </row>
    <row r="34" spans="1:6" ht="10.5" customHeight="1" x14ac:dyDescent="0.2">
      <c r="A34" s="81"/>
      <c r="B34" s="134"/>
      <c r="C34" s="81"/>
      <c r="D34" s="89"/>
      <c r="E34" s="84"/>
    </row>
    <row r="35" spans="1:6" ht="13.5" customHeight="1" x14ac:dyDescent="0.2">
      <c r="A35" s="77" t="s">
        <v>97</v>
      </c>
      <c r="B35" s="134"/>
      <c r="C35" s="81"/>
      <c r="D35" s="81"/>
      <c r="E35" s="81"/>
    </row>
    <row r="36" spans="1:6" ht="27.75" customHeight="1" x14ac:dyDescent="0.2">
      <c r="A36" s="90" t="s">
        <v>98</v>
      </c>
      <c r="B36" s="90" t="s">
        <v>87</v>
      </c>
      <c r="C36" s="90" t="s">
        <v>101</v>
      </c>
      <c r="D36" s="90" t="s">
        <v>7</v>
      </c>
      <c r="E36" s="90" t="s">
        <v>102</v>
      </c>
      <c r="F36" s="90" t="s">
        <v>141</v>
      </c>
    </row>
    <row r="37" spans="1:6" ht="13.5" customHeight="1" x14ac:dyDescent="0.2">
      <c r="A37" s="91" t="s">
        <v>99</v>
      </c>
      <c r="B37" s="92" t="str">
        <f>IF('Unit Processes'!H17&gt;0,'Unit Processes'!K17," ")</f>
        <v xml:space="preserve"> </v>
      </c>
      <c r="C37" s="93" t="str">
        <f>IF('Unit Processes'!H17&gt;0,'Unit Processes'!H17," ")</f>
        <v xml:space="preserve"> </v>
      </c>
      <c r="D37" s="93" t="str">
        <f>IF('Unit Processes'!H17=" "," ",'Unit Processes'!I17)</f>
        <v xml:space="preserve"> </v>
      </c>
      <c r="E37" s="126" t="str">
        <f>IF('Unit Processes'!H17=" "," ",(IF('Unit Processes'!B17="",(B31*C37/2000),(B31*C37*((100-'Unit Processes'!B17)/100)/2000))))</f>
        <v xml:space="preserve"> </v>
      </c>
      <c r="F37" s="93" t="str">
        <f>IF('Unit Processes'!B17="","",'Unit Processes'!B17)</f>
        <v/>
      </c>
    </row>
    <row r="38" spans="1:6" s="121" customFormat="1" ht="13.5" customHeight="1" thickBot="1" x14ac:dyDescent="0.25">
      <c r="A38" s="122" t="s">
        <v>100</v>
      </c>
      <c r="B38" s="123" t="str">
        <f>IF('Unit Processes'!H18&gt;0,'Unit Processes'!K18," ")</f>
        <v xml:space="preserve"> </v>
      </c>
      <c r="C38" s="124" t="str">
        <f>IF('Unit Processes'!H18&gt;0,'Unit Processes'!H18," ")</f>
        <v xml:space="preserve"> </v>
      </c>
      <c r="D38" s="124" t="str">
        <f>IF('Unit Processes'!H18=" "," ",'Unit Processes'!I18)</f>
        <v xml:space="preserve"> </v>
      </c>
      <c r="E38" s="161" t="str">
        <f>IF('Unit Processes'!H18=" "," ",(IF('Unit Processes'!B18="",(B31*C38/2000),(B31*C38*((100-'Unit Processes'!B18)/100)/2000))))</f>
        <v xml:space="preserve"> </v>
      </c>
      <c r="F38" s="124" t="str">
        <f>IF('Unit Processes'!B18="","",'Unit Processes'!B18)</f>
        <v/>
      </c>
    </row>
    <row r="39" spans="1:6" ht="13.5" customHeight="1" x14ac:dyDescent="0.2">
      <c r="A39" s="116"/>
      <c r="B39" s="117"/>
      <c r="C39" s="118"/>
      <c r="D39" s="119"/>
      <c r="E39" s="120"/>
    </row>
    <row r="40" spans="1:6" ht="13.5" customHeight="1" x14ac:dyDescent="0.25">
      <c r="A40" s="77" t="s">
        <v>91</v>
      </c>
      <c r="B40" s="130"/>
      <c r="C40" s="78"/>
      <c r="D40" s="78"/>
      <c r="E40" s="79"/>
    </row>
    <row r="41" spans="1:6" ht="13.5" customHeight="1" x14ac:dyDescent="0.2">
      <c r="A41" s="80" t="s">
        <v>92</v>
      </c>
      <c r="B41" s="131" t="str">
        <f>'Unit Processes'!F21</f>
        <v xml:space="preserve"> </v>
      </c>
      <c r="C41" s="81"/>
      <c r="E41" s="82"/>
    </row>
    <row r="42" spans="1:6" ht="13.5" customHeight="1" x14ac:dyDescent="0.2">
      <c r="A42" s="83" t="s">
        <v>93</v>
      </c>
      <c r="B42" s="131">
        <f>'Unit Processes'!C21</f>
        <v>0</v>
      </c>
      <c r="C42" s="84"/>
      <c r="E42" s="85"/>
    </row>
    <row r="43" spans="1:6" ht="13.5" customHeight="1" x14ac:dyDescent="0.2">
      <c r="A43" s="80" t="s">
        <v>94</v>
      </c>
      <c r="B43" s="132">
        <f>'Unit Processes'!D21</f>
        <v>0</v>
      </c>
      <c r="C43" s="81"/>
      <c r="E43" s="79"/>
    </row>
    <row r="44" spans="1:6" ht="13.5" customHeight="1" x14ac:dyDescent="0.2">
      <c r="A44" s="86" t="s">
        <v>95</v>
      </c>
      <c r="B44" s="131" t="str">
        <f>'Unit Processes'!E21</f>
        <v>ton - tons</v>
      </c>
      <c r="C44" s="87"/>
      <c r="E44" s="87"/>
    </row>
    <row r="45" spans="1:6" ht="13.5" customHeight="1" x14ac:dyDescent="0.2">
      <c r="A45" s="80" t="s">
        <v>96</v>
      </c>
      <c r="B45" s="133" t="s">
        <v>118</v>
      </c>
      <c r="C45" s="81"/>
      <c r="E45" s="88"/>
    </row>
    <row r="46" spans="1:6" ht="9.75" customHeight="1" x14ac:dyDescent="0.2">
      <c r="A46" s="81"/>
      <c r="B46" s="134"/>
      <c r="C46" s="81"/>
      <c r="D46" s="89"/>
      <c r="E46" s="84"/>
    </row>
    <row r="47" spans="1:6" ht="14.25" x14ac:dyDescent="0.2">
      <c r="A47" s="77" t="s">
        <v>97</v>
      </c>
      <c r="B47" s="134"/>
      <c r="C47" s="81"/>
      <c r="D47" s="81"/>
      <c r="E47" s="81"/>
    </row>
    <row r="48" spans="1:6" ht="25.5" customHeight="1" x14ac:dyDescent="0.2">
      <c r="A48" s="90" t="s">
        <v>98</v>
      </c>
      <c r="B48" s="90" t="s">
        <v>87</v>
      </c>
      <c r="C48" s="90" t="s">
        <v>101</v>
      </c>
      <c r="D48" s="90" t="s">
        <v>7</v>
      </c>
      <c r="E48" s="90" t="s">
        <v>102</v>
      </c>
      <c r="F48" s="90" t="s">
        <v>141</v>
      </c>
    </row>
    <row r="49" spans="1:6" ht="22.5" x14ac:dyDescent="0.2">
      <c r="A49" s="91" t="s">
        <v>99</v>
      </c>
      <c r="B49" s="92" t="str">
        <f>IF('Unit Processes'!H21&gt;0,'Unit Processes'!K21," ")</f>
        <v xml:space="preserve"> </v>
      </c>
      <c r="C49" s="93" t="str">
        <f>IF('Unit Processes'!H21&gt;0,'Unit Processes'!H21," ")</f>
        <v xml:space="preserve"> </v>
      </c>
      <c r="D49" s="93" t="str">
        <f>IF('Unit Processes'!H21=" "," ",'Unit Processes'!I21)</f>
        <v xml:space="preserve"> </v>
      </c>
      <c r="E49" s="126" t="str">
        <f>IF('Unit Processes'!H21=" "," ",(IF('Unit Processes'!B21="",(B43*C49/2000),(B43*C49*((100-'Unit Processes'!B21)/100)/2000))))</f>
        <v xml:space="preserve"> </v>
      </c>
      <c r="F49" s="93" t="str">
        <f>IF('Unit Processes'!B21="","",'Unit Processes'!B21)</f>
        <v/>
      </c>
    </row>
    <row r="50" spans="1:6" s="121" customFormat="1" ht="13.5" thickBot="1" x14ac:dyDescent="0.25">
      <c r="A50" s="122" t="s">
        <v>100</v>
      </c>
      <c r="B50" s="123" t="str">
        <f>IF('Unit Processes'!H22&gt;0,'Unit Processes'!K22," ")</f>
        <v xml:space="preserve"> </v>
      </c>
      <c r="C50" s="124" t="str">
        <f>IF('Unit Processes'!H22&gt;0,'Unit Processes'!H22," ")</f>
        <v xml:space="preserve"> </v>
      </c>
      <c r="D50" s="124" t="str">
        <f>IF('Unit Processes'!H22=" "," ",'Unit Processes'!I22)</f>
        <v xml:space="preserve"> </v>
      </c>
      <c r="E50" s="161" t="str">
        <f>IF('Unit Processes'!H22=" "," ",(IF('Unit Processes'!B22="",(B43*C50/2000),(B43*C50*((100-'Unit Processes'!B22)/100)/2000))))</f>
        <v xml:space="preserve"> </v>
      </c>
      <c r="F50" s="124" t="str">
        <f>IF('Unit Processes'!B22="","",'Unit Processes'!B22)</f>
        <v/>
      </c>
    </row>
    <row r="51" spans="1:6" x14ac:dyDescent="0.2">
      <c r="A51" s="116"/>
      <c r="B51" s="117"/>
      <c r="C51" s="118"/>
      <c r="D51" s="118"/>
      <c r="E51" s="120"/>
    </row>
    <row r="52" spans="1:6" ht="15.75" x14ac:dyDescent="0.25">
      <c r="A52" s="77" t="s">
        <v>91</v>
      </c>
      <c r="B52" s="130"/>
      <c r="C52" s="78"/>
      <c r="D52" s="78"/>
      <c r="E52" s="79"/>
    </row>
    <row r="53" spans="1:6" x14ac:dyDescent="0.2">
      <c r="A53" s="80" t="s">
        <v>92</v>
      </c>
      <c r="B53" s="131" t="str">
        <f>'Unit Processes'!F25</f>
        <v xml:space="preserve"> </v>
      </c>
      <c r="C53" s="81"/>
      <c r="E53" s="82"/>
    </row>
    <row r="54" spans="1:6" x14ac:dyDescent="0.2">
      <c r="A54" s="83" t="s">
        <v>93</v>
      </c>
      <c r="B54" s="131">
        <f>'Unit Processes'!C25</f>
        <v>0</v>
      </c>
      <c r="C54" s="84"/>
      <c r="E54" s="85"/>
    </row>
    <row r="55" spans="1:6" x14ac:dyDescent="0.2">
      <c r="A55" s="80" t="s">
        <v>94</v>
      </c>
      <c r="B55" s="132">
        <f>'Unit Processes'!D25</f>
        <v>0</v>
      </c>
      <c r="C55" s="81"/>
      <c r="E55" s="79"/>
    </row>
    <row r="56" spans="1:6" x14ac:dyDescent="0.2">
      <c r="A56" s="86" t="s">
        <v>95</v>
      </c>
      <c r="B56" s="131" t="str">
        <f>'Unit Processes'!E25</f>
        <v>ton - tons</v>
      </c>
      <c r="C56" s="87"/>
      <c r="E56" s="87"/>
    </row>
    <row r="57" spans="1:6" x14ac:dyDescent="0.2">
      <c r="A57" s="80" t="s">
        <v>96</v>
      </c>
      <c r="B57" s="133" t="s">
        <v>118</v>
      </c>
      <c r="C57" s="81"/>
      <c r="E57" s="88"/>
    </row>
    <row r="58" spans="1:6" ht="9" customHeight="1" x14ac:dyDescent="0.2">
      <c r="A58" s="81"/>
      <c r="B58" s="134"/>
      <c r="C58" s="81"/>
      <c r="D58" s="89"/>
      <c r="E58" s="84"/>
    </row>
    <row r="59" spans="1:6" ht="14.25" x14ac:dyDescent="0.2">
      <c r="A59" s="77" t="s">
        <v>97</v>
      </c>
      <c r="B59" s="134"/>
      <c r="C59" s="81"/>
      <c r="D59" s="81"/>
      <c r="E59" s="81"/>
    </row>
    <row r="60" spans="1:6" ht="23.25" customHeight="1" x14ac:dyDescent="0.2">
      <c r="A60" s="90" t="s">
        <v>98</v>
      </c>
      <c r="B60" s="90" t="s">
        <v>87</v>
      </c>
      <c r="C60" s="90" t="s">
        <v>101</v>
      </c>
      <c r="D60" s="90" t="s">
        <v>7</v>
      </c>
      <c r="E60" s="90" t="s">
        <v>102</v>
      </c>
      <c r="F60" s="90" t="s">
        <v>141</v>
      </c>
    </row>
    <row r="61" spans="1:6" ht="22.5" x14ac:dyDescent="0.2">
      <c r="A61" s="91" t="s">
        <v>99</v>
      </c>
      <c r="B61" s="92" t="str">
        <f>IF('Unit Processes'!H25&gt;0,'Unit Processes'!K25," ")</f>
        <v xml:space="preserve"> </v>
      </c>
      <c r="C61" s="93" t="str">
        <f>IF('Unit Processes'!H25&gt;0,'Unit Processes'!H25," ")</f>
        <v xml:space="preserve"> </v>
      </c>
      <c r="D61" s="93" t="str">
        <f>IF('Unit Processes'!H25=" "," ",'Unit Processes'!I25)</f>
        <v xml:space="preserve"> </v>
      </c>
      <c r="E61" s="126" t="str">
        <f>IF('Unit Processes'!H25=" "," ",(IF('Unit Processes'!B25="",(B55*C61/2000),(B55*C61*((100-'Unit Processes'!B25)/100)/2000))))</f>
        <v xml:space="preserve"> </v>
      </c>
      <c r="F61" s="93" t="str">
        <f>IF('Unit Processes'!B25="","",'Unit Processes'!B25)</f>
        <v/>
      </c>
    </row>
    <row r="62" spans="1:6" s="121" customFormat="1" ht="13.5" thickBot="1" x14ac:dyDescent="0.25">
      <c r="A62" s="122" t="s">
        <v>100</v>
      </c>
      <c r="B62" s="123" t="str">
        <f>IF('Unit Processes'!H26&gt;0,'Unit Processes'!K26," ")</f>
        <v xml:space="preserve"> </v>
      </c>
      <c r="C62" s="124" t="str">
        <f>IF('Unit Processes'!H26&gt;0,'Unit Processes'!H26," ")</f>
        <v xml:space="preserve"> </v>
      </c>
      <c r="D62" s="124" t="str">
        <f>IF('Unit Processes'!H26=" "," ",'Unit Processes'!I26)</f>
        <v xml:space="preserve"> </v>
      </c>
      <c r="E62" s="161" t="str">
        <f>IF('Unit Processes'!H26=" "," ",(IF('Unit Processes'!B26="",(B55*C62/2000),(B55*C62*((100-'Unit Processes'!B26)/100)/2000))))</f>
        <v xml:space="preserve"> </v>
      </c>
      <c r="F62" s="124" t="str">
        <f>IF('Unit Processes'!B26="","",'Unit Processes'!B26)</f>
        <v/>
      </c>
    </row>
    <row r="63" spans="1:6" x14ac:dyDescent="0.2">
      <c r="A63" s="116"/>
      <c r="B63" s="117"/>
      <c r="C63" s="118"/>
      <c r="D63" s="118"/>
      <c r="E63" s="120"/>
    </row>
    <row r="64" spans="1:6" ht="15.75" x14ac:dyDescent="0.25">
      <c r="A64" s="77" t="s">
        <v>91</v>
      </c>
      <c r="B64" s="130"/>
      <c r="C64" s="78"/>
      <c r="D64" s="78"/>
      <c r="E64" s="79"/>
    </row>
    <row r="65" spans="1:6" x14ac:dyDescent="0.2">
      <c r="A65" s="80" t="s">
        <v>92</v>
      </c>
      <c r="B65" s="131" t="str">
        <f>'Unit Processes'!F29</f>
        <v xml:space="preserve"> </v>
      </c>
      <c r="C65" s="81"/>
      <c r="E65" s="82"/>
    </row>
    <row r="66" spans="1:6" x14ac:dyDescent="0.2">
      <c r="A66" s="83" t="s">
        <v>93</v>
      </c>
      <c r="B66" s="131">
        <f>'Unit Processes'!C29</f>
        <v>0</v>
      </c>
      <c r="C66" s="84"/>
      <c r="E66" s="85"/>
    </row>
    <row r="67" spans="1:6" x14ac:dyDescent="0.2">
      <c r="A67" s="80" t="s">
        <v>94</v>
      </c>
      <c r="B67" s="132">
        <f>'Unit Processes'!D29</f>
        <v>0</v>
      </c>
      <c r="C67" s="81"/>
      <c r="E67" s="79"/>
    </row>
    <row r="68" spans="1:6" x14ac:dyDescent="0.2">
      <c r="A68" s="86" t="s">
        <v>95</v>
      </c>
      <c r="B68" s="131" t="str">
        <f>'Unit Processes'!E29</f>
        <v>ton - tons</v>
      </c>
      <c r="C68" s="87"/>
      <c r="E68" s="87"/>
    </row>
    <row r="69" spans="1:6" x14ac:dyDescent="0.2">
      <c r="A69" s="80" t="s">
        <v>96</v>
      </c>
      <c r="B69" s="133" t="s">
        <v>118</v>
      </c>
      <c r="C69" s="81"/>
      <c r="E69" s="88"/>
    </row>
    <row r="70" spans="1:6" ht="9.75" customHeight="1" x14ac:dyDescent="0.2">
      <c r="A70" s="81"/>
      <c r="B70" s="134"/>
      <c r="C70" s="81"/>
      <c r="D70" s="89"/>
      <c r="E70" s="84"/>
    </row>
    <row r="71" spans="1:6" ht="14.25" x14ac:dyDescent="0.2">
      <c r="A71" s="77" t="s">
        <v>97</v>
      </c>
      <c r="B71" s="134"/>
      <c r="C71" s="81"/>
      <c r="D71" s="81"/>
      <c r="E71" s="81"/>
    </row>
    <row r="72" spans="1:6" ht="26.25" customHeight="1" x14ac:dyDescent="0.2">
      <c r="A72" s="90" t="s">
        <v>98</v>
      </c>
      <c r="B72" s="90" t="s">
        <v>87</v>
      </c>
      <c r="C72" s="90" t="s">
        <v>101</v>
      </c>
      <c r="D72" s="90" t="s">
        <v>7</v>
      </c>
      <c r="E72" s="90" t="s">
        <v>102</v>
      </c>
      <c r="F72" s="90" t="s">
        <v>141</v>
      </c>
    </row>
    <row r="73" spans="1:6" ht="22.5" x14ac:dyDescent="0.2">
      <c r="A73" s="91" t="s">
        <v>99</v>
      </c>
      <c r="B73" s="92" t="str">
        <f>IF('Unit Processes'!H29&gt;0,'Unit Processes'!K29," ")</f>
        <v xml:space="preserve"> </v>
      </c>
      <c r="C73" s="93" t="str">
        <f>IF('Unit Processes'!H29&gt;0,'Unit Processes'!H29," ")</f>
        <v xml:space="preserve"> </v>
      </c>
      <c r="D73" s="93" t="str">
        <f>IF('Unit Processes'!H29=" "," ",'Unit Processes'!I29)</f>
        <v xml:space="preserve"> </v>
      </c>
      <c r="E73" s="126" t="str">
        <f>IF('Unit Processes'!H29=" "," ",(IF('Unit Processes'!B29="",(B67*C73/2000),(B67*C73*((100-'Unit Processes'!B29)/100)/2000))))</f>
        <v xml:space="preserve"> </v>
      </c>
      <c r="F73" s="93" t="str">
        <f>IF('Unit Processes'!B29="","",'Unit Processes'!B29)</f>
        <v/>
      </c>
    </row>
    <row r="74" spans="1:6" s="121" customFormat="1" ht="13.5" thickBot="1" x14ac:dyDescent="0.25">
      <c r="A74" s="122" t="s">
        <v>100</v>
      </c>
      <c r="B74" s="123" t="str">
        <f>IF('Unit Processes'!H30&gt;0,'Unit Processes'!K30," ")</f>
        <v xml:space="preserve"> </v>
      </c>
      <c r="C74" s="124" t="str">
        <f>IF('Unit Processes'!H30&gt;0,'Unit Processes'!H30," ")</f>
        <v xml:space="preserve"> </v>
      </c>
      <c r="D74" s="124" t="str">
        <f>IF('Unit Processes'!H30=" "," ",'Unit Processes'!I30)</f>
        <v xml:space="preserve"> </v>
      </c>
      <c r="E74" s="161" t="str">
        <f>IF('Unit Processes'!H30=" "," ",(IF('Unit Processes'!B30="",(B67*C74/2000),(B67*C74*((100-'Unit Processes'!B30)/100)/2000))))</f>
        <v xml:space="preserve"> </v>
      </c>
      <c r="F74" s="124" t="str">
        <f>IF('Unit Processes'!B30="","",'Unit Processes'!B30)</f>
        <v/>
      </c>
    </row>
    <row r="75" spans="1:6" x14ac:dyDescent="0.2">
      <c r="A75" s="116"/>
      <c r="B75" s="117"/>
      <c r="C75" s="118"/>
      <c r="D75" s="118"/>
      <c r="E75" s="120"/>
    </row>
    <row r="76" spans="1:6" ht="15.75" x14ac:dyDescent="0.25">
      <c r="A76" s="77" t="s">
        <v>91</v>
      </c>
      <c r="B76" s="130"/>
      <c r="C76" s="78"/>
      <c r="D76" s="78"/>
      <c r="E76" s="79"/>
    </row>
    <row r="77" spans="1:6" x14ac:dyDescent="0.2">
      <c r="A77" s="80" t="s">
        <v>92</v>
      </c>
      <c r="B77" s="131" t="str">
        <f>'Unit Processes'!F33</f>
        <v xml:space="preserve"> </v>
      </c>
      <c r="C77" s="81"/>
      <c r="E77" s="82"/>
    </row>
    <row r="78" spans="1:6" x14ac:dyDescent="0.2">
      <c r="A78" s="83" t="s">
        <v>93</v>
      </c>
      <c r="B78" s="131">
        <f>'Unit Processes'!C33</f>
        <v>0</v>
      </c>
      <c r="C78" s="84"/>
      <c r="E78" s="85"/>
    </row>
    <row r="79" spans="1:6" x14ac:dyDescent="0.2">
      <c r="A79" s="80" t="s">
        <v>94</v>
      </c>
      <c r="B79" s="132">
        <f>'Unit Processes'!D33</f>
        <v>0</v>
      </c>
      <c r="C79" s="81"/>
      <c r="E79" s="79"/>
    </row>
    <row r="80" spans="1:6" x14ac:dyDescent="0.2">
      <c r="A80" s="86" t="s">
        <v>95</v>
      </c>
      <c r="B80" s="131" t="str">
        <f>'Unit Processes'!E33</f>
        <v>ton - tons</v>
      </c>
      <c r="C80" s="87"/>
      <c r="E80" s="87"/>
    </row>
    <row r="81" spans="1:6" x14ac:dyDescent="0.2">
      <c r="A81" s="80" t="s">
        <v>96</v>
      </c>
      <c r="B81" s="133" t="s">
        <v>118</v>
      </c>
      <c r="C81" s="81"/>
      <c r="E81" s="88"/>
    </row>
    <row r="82" spans="1:6" ht="8.25" customHeight="1" x14ac:dyDescent="0.2">
      <c r="A82" s="81"/>
      <c r="B82" s="134"/>
      <c r="C82" s="81"/>
      <c r="D82" s="89"/>
      <c r="E82" s="84"/>
    </row>
    <row r="83" spans="1:6" ht="14.25" x14ac:dyDescent="0.2">
      <c r="A83" s="77" t="s">
        <v>97</v>
      </c>
      <c r="B83" s="134"/>
      <c r="C83" s="81"/>
      <c r="D83" s="81"/>
      <c r="E83" s="81"/>
    </row>
    <row r="84" spans="1:6" ht="23.25" customHeight="1" x14ac:dyDescent="0.2">
      <c r="A84" s="90" t="s">
        <v>98</v>
      </c>
      <c r="B84" s="90" t="s">
        <v>87</v>
      </c>
      <c r="C84" s="90" t="s">
        <v>101</v>
      </c>
      <c r="D84" s="90" t="s">
        <v>7</v>
      </c>
      <c r="E84" s="90" t="s">
        <v>102</v>
      </c>
      <c r="F84" s="90" t="s">
        <v>141</v>
      </c>
    </row>
    <row r="85" spans="1:6" ht="22.5" x14ac:dyDescent="0.2">
      <c r="A85" s="91" t="s">
        <v>99</v>
      </c>
      <c r="B85" s="92" t="str">
        <f>IF('Unit Processes'!H33&gt;0,'Unit Processes'!K33," ")</f>
        <v xml:space="preserve"> </v>
      </c>
      <c r="C85" s="93" t="str">
        <f>IF('Unit Processes'!H33&gt;0,'Unit Processes'!H33," ")</f>
        <v xml:space="preserve"> </v>
      </c>
      <c r="D85" s="93" t="str">
        <f>IF('Unit Processes'!H33=" "," ",'Unit Processes'!I33)</f>
        <v xml:space="preserve"> </v>
      </c>
      <c r="E85" s="126" t="str">
        <f>IF('Unit Processes'!H33=" "," ",(IF('Unit Processes'!B33="",(B79*C85/2000),(B79*C85*((100-'Unit Processes'!B33)/100)/2000))))</f>
        <v xml:space="preserve"> </v>
      </c>
      <c r="F85" s="93" t="str">
        <f>IF('Unit Processes'!B33="","",'Unit Processes'!B33)</f>
        <v/>
      </c>
    </row>
    <row r="86" spans="1:6" s="121" customFormat="1" ht="13.5" thickBot="1" x14ac:dyDescent="0.25">
      <c r="A86" s="122" t="s">
        <v>100</v>
      </c>
      <c r="B86" s="123" t="str">
        <f>IF('Unit Processes'!H34&gt;0,'Unit Processes'!K34," ")</f>
        <v xml:space="preserve"> </v>
      </c>
      <c r="C86" s="124" t="str">
        <f>IF('Unit Processes'!H34&gt;0,'Unit Processes'!H34," ")</f>
        <v xml:space="preserve"> </v>
      </c>
      <c r="D86" s="124" t="str">
        <f>IF('Unit Processes'!H34=" "," ",'Unit Processes'!I34)</f>
        <v xml:space="preserve"> </v>
      </c>
      <c r="E86" s="161" t="str">
        <f>IF('Unit Processes'!H34=" "," ",(IF('Unit Processes'!B34="",(B79*C86/2000),(B79*C86*((100-'Unit Processes'!B34)/100)/2000))))</f>
        <v xml:space="preserve"> </v>
      </c>
      <c r="F86" s="124" t="str">
        <f>IF('Unit Processes'!B34="","",'Unit Processes'!B34)</f>
        <v/>
      </c>
    </row>
    <row r="88" spans="1:6" ht="15.75" x14ac:dyDescent="0.25">
      <c r="A88" s="77" t="s">
        <v>91</v>
      </c>
      <c r="B88" s="135"/>
      <c r="C88" s="78"/>
      <c r="D88" s="78"/>
      <c r="E88" s="79"/>
    </row>
    <row r="89" spans="1:6" x14ac:dyDescent="0.2">
      <c r="A89" s="80" t="s">
        <v>92</v>
      </c>
      <c r="B89" s="131" t="str">
        <f>'Unit Processes'!F37</f>
        <v xml:space="preserve"> </v>
      </c>
      <c r="C89" s="81"/>
      <c r="E89" s="82"/>
    </row>
    <row r="90" spans="1:6" x14ac:dyDescent="0.2">
      <c r="A90" s="83" t="s">
        <v>93</v>
      </c>
      <c r="B90" s="131">
        <f>'Unit Processes'!C37</f>
        <v>0</v>
      </c>
      <c r="C90" s="84"/>
      <c r="E90" s="82"/>
    </row>
    <row r="91" spans="1:6" x14ac:dyDescent="0.2">
      <c r="A91" s="80" t="s">
        <v>94</v>
      </c>
      <c r="B91" s="132">
        <f>'Unit Processes'!D37</f>
        <v>0</v>
      </c>
      <c r="C91" s="81"/>
      <c r="E91" s="87"/>
    </row>
    <row r="92" spans="1:6" x14ac:dyDescent="0.2">
      <c r="A92" s="86" t="s">
        <v>95</v>
      </c>
      <c r="B92" s="131" t="str">
        <f>'Unit Processes'!E37</f>
        <v>ton - tons</v>
      </c>
      <c r="C92" s="81"/>
      <c r="E92" s="87"/>
    </row>
    <row r="93" spans="1:6" x14ac:dyDescent="0.2">
      <c r="A93" s="80" t="s">
        <v>96</v>
      </c>
      <c r="B93" s="133" t="s">
        <v>118</v>
      </c>
      <c r="C93" s="81"/>
      <c r="E93" s="94"/>
    </row>
    <row r="94" spans="1:6" ht="10.5" customHeight="1" x14ac:dyDescent="0.2">
      <c r="A94" s="95"/>
      <c r="B94" s="134"/>
      <c r="C94" s="81"/>
      <c r="D94" s="89"/>
      <c r="E94" s="84"/>
    </row>
    <row r="95" spans="1:6" ht="14.25" x14ac:dyDescent="0.2">
      <c r="A95" s="96" t="s">
        <v>97</v>
      </c>
      <c r="B95" s="136"/>
      <c r="C95" s="97"/>
      <c r="D95" s="97"/>
      <c r="E95" s="97"/>
    </row>
    <row r="96" spans="1:6" ht="24" customHeight="1" x14ac:dyDescent="0.2">
      <c r="A96" s="98" t="s">
        <v>98</v>
      </c>
      <c r="B96" s="90" t="s">
        <v>87</v>
      </c>
      <c r="C96" s="90" t="s">
        <v>101</v>
      </c>
      <c r="D96" s="90" t="s">
        <v>7</v>
      </c>
      <c r="E96" s="90" t="s">
        <v>102</v>
      </c>
      <c r="F96" s="90" t="s">
        <v>141</v>
      </c>
    </row>
    <row r="97" spans="1:6" ht="22.5" x14ac:dyDescent="0.2">
      <c r="A97" s="91" t="s">
        <v>99</v>
      </c>
      <c r="B97" s="92" t="str">
        <f>IF('Unit Processes'!H37&gt;0,'Unit Processes'!K37," ")</f>
        <v xml:space="preserve"> </v>
      </c>
      <c r="C97" s="93" t="str">
        <f>IF('Unit Processes'!H37&gt;0,'Unit Processes'!H37," ")</f>
        <v xml:space="preserve"> </v>
      </c>
      <c r="D97" s="99" t="str">
        <f>IF('Unit Processes'!H37=" "," ",'Unit Processes'!I37)</f>
        <v xml:space="preserve"> </v>
      </c>
      <c r="E97" s="126" t="str">
        <f>IF('Unit Processes'!H37=" "," ",(IF('Unit Processes'!B37="",(B91*C97/2000),(B91*C97*((100-'Unit Processes'!B37)/100)/2000))))</f>
        <v xml:space="preserve"> </v>
      </c>
      <c r="F97" s="93" t="str">
        <f>IF('Unit Processes'!B37="","",'Unit Processes'!B37)</f>
        <v/>
      </c>
    </row>
    <row r="98" spans="1:6" s="121" customFormat="1" ht="13.5" thickBot="1" x14ac:dyDescent="0.25">
      <c r="A98" s="122" t="s">
        <v>100</v>
      </c>
      <c r="B98" s="123" t="str">
        <f>IF('Unit Processes'!H38&gt;0,'Unit Processes'!K38," ")</f>
        <v xml:space="preserve"> </v>
      </c>
      <c r="C98" s="124" t="str">
        <f>IF('Unit Processes'!H38&gt;0,'Unit Processes'!H38," ")</f>
        <v xml:space="preserve"> </v>
      </c>
      <c r="D98" s="125" t="str">
        <f>IF('Unit Processes'!H38=" "," ",'Unit Processes'!I38)</f>
        <v xml:space="preserve"> </v>
      </c>
      <c r="E98" s="161" t="str">
        <f>IF('Unit Processes'!H38=" "," ",(IF('Unit Processes'!B38="",(B91*C98/2000),(B91*C98*((100-'Unit Processes'!B38)/100)/2000))))</f>
        <v xml:space="preserve"> </v>
      </c>
      <c r="F98" s="124" t="str">
        <f>IF('Unit Processes'!B38="","",'Unit Processes'!B38)</f>
        <v/>
      </c>
    </row>
  </sheetData>
  <sheetProtection algorithmName="SHA-512" hashValue="vej9SrVtE/M21inbTB+XbTPnmHQSR/AbE2x3MVV1baE4dyv/Yj6zfYqflvh+85ZLb/3v38JbcZKnebWsJ/JLrg==" saltValue="1sD30FRIFHNB5JWWh4Yg1g==" spinCount="100000" sheet="1" objects="1" scenarios="1"/>
  <phoneticPr fontId="5" type="noConversion"/>
  <pageMargins left="0.75" right="0.5" top="0.75" bottom="0.75" header="0.5" footer="0.5"/>
  <pageSetup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workbookViewId="0">
      <pane xSplit="1" topLeftCell="B1" activePane="topRight" state="frozen"/>
      <selection pane="topRight" activeCell="I3" sqref="I3"/>
    </sheetView>
  </sheetViews>
  <sheetFormatPr defaultColWidth="9.140625" defaultRowHeight="12.75" x14ac:dyDescent="0.2"/>
  <cols>
    <col min="1" max="1" width="18.42578125" style="29" bestFit="1" customWidth="1"/>
    <col min="2" max="2" width="8.28515625" style="29" bestFit="1" customWidth="1"/>
    <col min="3" max="3" width="7" style="12" bestFit="1" customWidth="1"/>
    <col min="4" max="4" width="12.42578125" style="12" customWidth="1"/>
    <col min="5" max="5" width="19.7109375" style="12" bestFit="1" customWidth="1"/>
    <col min="6" max="6" width="9.28515625" style="12" customWidth="1"/>
    <col min="7" max="7" width="16" style="12" bestFit="1" customWidth="1"/>
    <col min="8" max="8" width="19.7109375" style="12" bestFit="1" customWidth="1"/>
    <col min="9" max="16384" width="9.140625" style="12"/>
  </cols>
  <sheetData>
    <row r="1" spans="1:9" s="16" customFormat="1" x14ac:dyDescent="0.2">
      <c r="A1" s="42" t="s">
        <v>47</v>
      </c>
      <c r="B1" s="42" t="s">
        <v>54</v>
      </c>
      <c r="C1" s="42" t="s">
        <v>49</v>
      </c>
      <c r="D1" s="42" t="s">
        <v>50</v>
      </c>
      <c r="E1" s="42" t="s">
        <v>85</v>
      </c>
      <c r="F1" s="42" t="s">
        <v>51</v>
      </c>
      <c r="G1" s="42" t="s">
        <v>50</v>
      </c>
      <c r="H1" s="42" t="s">
        <v>85</v>
      </c>
      <c r="I1" s="42" t="s">
        <v>52</v>
      </c>
    </row>
    <row r="2" spans="1:9" x14ac:dyDescent="0.2">
      <c r="A2" s="40" t="s">
        <v>108</v>
      </c>
      <c r="B2" s="72" t="s">
        <v>116</v>
      </c>
      <c r="C2" s="50">
        <v>8.0000000000000004E-4</v>
      </c>
      <c r="D2" s="70" t="s">
        <v>113</v>
      </c>
      <c r="E2" s="64" t="s">
        <v>86</v>
      </c>
      <c r="F2" s="50">
        <v>8.0000000000000004E-4</v>
      </c>
      <c r="G2" s="70" t="s">
        <v>113</v>
      </c>
      <c r="H2" s="64" t="s">
        <v>86</v>
      </c>
      <c r="I2" s="12">
        <v>30200812</v>
      </c>
    </row>
    <row r="3" spans="1:9" x14ac:dyDescent="0.2">
      <c r="A3" s="40" t="s">
        <v>111</v>
      </c>
      <c r="B3" s="72" t="s">
        <v>116</v>
      </c>
      <c r="C3" s="50">
        <v>1.6E-2</v>
      </c>
      <c r="D3" s="69" t="s">
        <v>115</v>
      </c>
      <c r="E3" s="64" t="s">
        <v>86</v>
      </c>
      <c r="F3" s="50">
        <v>9.5000000000000001E-2</v>
      </c>
      <c r="G3" s="69" t="s">
        <v>115</v>
      </c>
      <c r="H3" s="64" t="s">
        <v>86</v>
      </c>
      <c r="I3" s="12">
        <v>30200537</v>
      </c>
    </row>
    <row r="4" spans="1:9" x14ac:dyDescent="0.2">
      <c r="A4" s="40" t="s">
        <v>104</v>
      </c>
      <c r="B4" s="72" t="s">
        <v>116</v>
      </c>
      <c r="C4" s="50">
        <v>5.7999999999999996E-3</v>
      </c>
      <c r="D4" s="71" t="s">
        <v>114</v>
      </c>
      <c r="E4" s="64" t="s">
        <v>86</v>
      </c>
      <c r="F4" s="50">
        <v>3.4000000000000002E-2</v>
      </c>
      <c r="G4" s="69" t="s">
        <v>115</v>
      </c>
      <c r="H4" s="64" t="s">
        <v>86</v>
      </c>
      <c r="I4" s="12">
        <v>30200530</v>
      </c>
    </row>
    <row r="5" spans="1:9" x14ac:dyDescent="0.2">
      <c r="A5" s="40" t="s">
        <v>103</v>
      </c>
      <c r="B5" s="72" t="s">
        <v>116</v>
      </c>
      <c r="C5" s="50">
        <v>2.9999999999999997E-4</v>
      </c>
      <c r="D5" s="70" t="s">
        <v>113</v>
      </c>
      <c r="E5" s="64" t="s">
        <v>86</v>
      </c>
      <c r="F5" s="50">
        <v>2.5000000000000001E-3</v>
      </c>
      <c r="G5" s="68" t="s">
        <v>112</v>
      </c>
      <c r="H5" s="64" t="s">
        <v>86</v>
      </c>
      <c r="I5" s="12">
        <v>30200802</v>
      </c>
    </row>
    <row r="6" spans="1:9" x14ac:dyDescent="0.2">
      <c r="A6" s="29" t="s">
        <v>107</v>
      </c>
      <c r="B6" s="72" t="s">
        <v>116</v>
      </c>
      <c r="C6" s="50">
        <v>0.11</v>
      </c>
      <c r="D6" s="70" t="s">
        <v>113</v>
      </c>
      <c r="E6" s="64" t="s">
        <v>86</v>
      </c>
      <c r="F6" s="50">
        <v>0.17</v>
      </c>
      <c r="G6" s="70" t="s">
        <v>113</v>
      </c>
      <c r="H6" s="64" t="s">
        <v>86</v>
      </c>
      <c r="I6" s="12">
        <v>30200817</v>
      </c>
    </row>
    <row r="7" spans="1:9" x14ac:dyDescent="0.2">
      <c r="A7" s="40" t="s">
        <v>105</v>
      </c>
      <c r="B7" s="72" t="s">
        <v>116</v>
      </c>
      <c r="C7" s="50">
        <v>5.7999999999999996E-3</v>
      </c>
      <c r="D7" s="69" t="s">
        <v>115</v>
      </c>
      <c r="E7" s="64" t="s">
        <v>86</v>
      </c>
      <c r="F7" s="50">
        <v>3.4000000000000002E-2</v>
      </c>
      <c r="G7" s="69" t="s">
        <v>115</v>
      </c>
      <c r="H7" s="64" t="s">
        <v>86</v>
      </c>
      <c r="I7" s="12">
        <v>30200809</v>
      </c>
    </row>
    <row r="8" spans="1:9" x14ac:dyDescent="0.2">
      <c r="A8" s="40" t="s">
        <v>121</v>
      </c>
      <c r="B8" s="72" t="s">
        <v>116</v>
      </c>
      <c r="C8" s="50">
        <v>0.17780000000000001</v>
      </c>
      <c r="D8" s="70" t="s">
        <v>113</v>
      </c>
      <c r="E8" s="64" t="s">
        <v>86</v>
      </c>
      <c r="F8" s="50">
        <v>0.23899999999999999</v>
      </c>
      <c r="G8" s="70" t="s">
        <v>113</v>
      </c>
      <c r="H8" s="64" t="s">
        <v>86</v>
      </c>
      <c r="I8" s="12">
        <v>30200816</v>
      </c>
    </row>
    <row r="9" spans="1:9" x14ac:dyDescent="0.2">
      <c r="A9" s="29" t="s">
        <v>122</v>
      </c>
      <c r="B9" s="72" t="s">
        <v>116</v>
      </c>
      <c r="C9" s="50">
        <v>0.1085</v>
      </c>
      <c r="D9" s="70" t="s">
        <v>113</v>
      </c>
      <c r="E9" s="64" t="s">
        <v>86</v>
      </c>
      <c r="F9" s="50">
        <v>0.13400000000000001</v>
      </c>
      <c r="G9" s="70" t="s">
        <v>113</v>
      </c>
      <c r="H9" s="64" t="s">
        <v>86</v>
      </c>
      <c r="I9" s="12">
        <v>30200816</v>
      </c>
    </row>
    <row r="10" spans="1:9" x14ac:dyDescent="0.2">
      <c r="A10" s="29" t="s">
        <v>106</v>
      </c>
      <c r="B10" s="72" t="s">
        <v>116</v>
      </c>
      <c r="C10" s="50">
        <v>0.04</v>
      </c>
      <c r="D10" s="70" t="s">
        <v>113</v>
      </c>
      <c r="E10" s="64" t="s">
        <v>86</v>
      </c>
      <c r="F10" s="50">
        <v>0.06</v>
      </c>
      <c r="G10" s="70" t="s">
        <v>113</v>
      </c>
      <c r="H10" s="64" t="s">
        <v>86</v>
      </c>
      <c r="I10" s="12">
        <v>30200819</v>
      </c>
    </row>
    <row r="11" spans="1:9" x14ac:dyDescent="0.2">
      <c r="A11" s="40" t="s">
        <v>109</v>
      </c>
      <c r="B11" s="72" t="s">
        <v>116</v>
      </c>
      <c r="C11" s="50">
        <v>1.1000000000000001E-3</v>
      </c>
      <c r="D11" s="69" t="s">
        <v>115</v>
      </c>
      <c r="E11" s="64" t="s">
        <v>86</v>
      </c>
      <c r="F11" s="50">
        <v>6.3E-3</v>
      </c>
      <c r="G11" s="69" t="s">
        <v>115</v>
      </c>
      <c r="H11" s="64" t="s">
        <v>86</v>
      </c>
      <c r="I11" s="12">
        <v>30200540</v>
      </c>
    </row>
    <row r="12" spans="1:9" x14ac:dyDescent="0.2">
      <c r="A12" s="40"/>
      <c r="B12" s="40"/>
      <c r="C12" s="16"/>
      <c r="D12" s="16"/>
      <c r="E12" s="16"/>
      <c r="F12" s="16"/>
      <c r="G12" s="16"/>
      <c r="H12" s="16"/>
    </row>
    <row r="13" spans="1:9" x14ac:dyDescent="0.2">
      <c r="A13" s="40"/>
      <c r="B13" s="40"/>
      <c r="C13" s="16"/>
      <c r="D13" s="16"/>
      <c r="E13" s="16"/>
      <c r="F13" s="16"/>
      <c r="G13" s="16"/>
      <c r="H13" s="16"/>
    </row>
    <row r="14" spans="1:9" x14ac:dyDescent="0.2">
      <c r="A14" s="40"/>
      <c r="B14" s="40"/>
      <c r="C14" s="16"/>
      <c r="D14" s="16"/>
      <c r="E14" s="16"/>
      <c r="F14" s="16"/>
      <c r="G14" s="16"/>
      <c r="H14" s="16"/>
    </row>
    <row r="15" spans="1:9" x14ac:dyDescent="0.2">
      <c r="A15" s="40"/>
      <c r="B15" s="40"/>
      <c r="C15" s="16"/>
      <c r="D15" s="16"/>
      <c r="E15" s="16"/>
      <c r="F15" s="16"/>
      <c r="G15" s="16"/>
      <c r="H15" s="16"/>
    </row>
    <row r="16" spans="1:9" x14ac:dyDescent="0.2">
      <c r="A16" s="40"/>
      <c r="B16" s="40"/>
      <c r="C16" s="16"/>
      <c r="D16" s="16"/>
      <c r="E16" s="16"/>
      <c r="F16" s="16"/>
      <c r="G16" s="16"/>
      <c r="H16" s="16"/>
    </row>
    <row r="17" spans="1:8" x14ac:dyDescent="0.2">
      <c r="A17" s="40"/>
      <c r="B17" s="40"/>
      <c r="C17" s="16"/>
      <c r="D17" s="16"/>
      <c r="E17" s="16"/>
      <c r="F17" s="16"/>
      <c r="G17" s="16"/>
      <c r="H17" s="16"/>
    </row>
    <row r="18" spans="1:8" x14ac:dyDescent="0.2">
      <c r="A18" s="40"/>
      <c r="B18" s="40"/>
      <c r="C18" s="16"/>
      <c r="D18" s="16"/>
      <c r="E18" s="16"/>
      <c r="F18" s="16"/>
      <c r="G18" s="16"/>
      <c r="H18" s="16"/>
    </row>
    <row r="19" spans="1:8" x14ac:dyDescent="0.2">
      <c r="A19" s="40"/>
      <c r="B19" s="40"/>
      <c r="C19" s="16"/>
      <c r="D19" s="16"/>
      <c r="E19" s="16"/>
      <c r="F19" s="16"/>
      <c r="G19" s="16"/>
      <c r="H19" s="16"/>
    </row>
    <row r="20" spans="1:8" x14ac:dyDescent="0.2">
      <c r="A20" s="40"/>
      <c r="B20" s="40"/>
      <c r="C20" s="16"/>
      <c r="D20" s="16"/>
      <c r="E20" s="16"/>
      <c r="F20" s="16"/>
      <c r="G20" s="16"/>
      <c r="H20" s="16"/>
    </row>
    <row r="21" spans="1:8" x14ac:dyDescent="0.2">
      <c r="A21" s="43"/>
      <c r="B21" s="43"/>
      <c r="C21" s="16"/>
      <c r="D21" s="16"/>
      <c r="E21" s="16"/>
      <c r="F21" s="16"/>
      <c r="G21" s="16"/>
      <c r="H21" s="16"/>
    </row>
    <row r="22" spans="1:8" x14ac:dyDescent="0.2">
      <c r="A22" s="40"/>
      <c r="B22" s="40"/>
      <c r="C22" s="16"/>
      <c r="D22" s="16"/>
      <c r="E22" s="16"/>
      <c r="F22" s="16"/>
      <c r="G22" s="16"/>
      <c r="H22" s="16"/>
    </row>
    <row r="23" spans="1:8" x14ac:dyDescent="0.2">
      <c r="A23" s="43"/>
      <c r="B23" s="43"/>
      <c r="C23" s="16"/>
      <c r="D23" s="16"/>
      <c r="E23" s="16"/>
      <c r="F23" s="16"/>
      <c r="G23" s="16"/>
      <c r="H23" s="16"/>
    </row>
    <row r="24" spans="1:8" x14ac:dyDescent="0.2">
      <c r="A24" s="43"/>
      <c r="B24" s="43"/>
      <c r="C24" s="16"/>
      <c r="D24" s="16"/>
      <c r="E24" s="16"/>
      <c r="F24" s="16"/>
      <c r="G24" s="16"/>
      <c r="H24" s="16"/>
    </row>
    <row r="25" spans="1:8" x14ac:dyDescent="0.2">
      <c r="A25" s="43"/>
      <c r="B25" s="43"/>
      <c r="C25" s="16"/>
      <c r="D25" s="16"/>
      <c r="E25" s="16"/>
      <c r="F25" s="16"/>
      <c r="G25" s="16"/>
      <c r="H25" s="16"/>
    </row>
    <row r="26" spans="1:8" x14ac:dyDescent="0.2">
      <c r="A26" s="43"/>
      <c r="B26" s="43"/>
      <c r="C26" s="16"/>
      <c r="D26" s="16"/>
      <c r="E26" s="16"/>
      <c r="F26" s="16"/>
      <c r="G26" s="16"/>
      <c r="H26" s="16"/>
    </row>
    <row r="27" spans="1:8" x14ac:dyDescent="0.2">
      <c r="A27" s="43"/>
      <c r="B27" s="43"/>
    </row>
    <row r="28" spans="1:8" x14ac:dyDescent="0.2">
      <c r="A28" s="43"/>
      <c r="B28" s="43"/>
    </row>
    <row r="29" spans="1:8" x14ac:dyDescent="0.2">
      <c r="A29" s="43"/>
      <c r="B29" s="43"/>
    </row>
    <row r="30" spans="1:8" x14ac:dyDescent="0.2">
      <c r="A30" s="43"/>
      <c r="B30" s="43"/>
    </row>
    <row r="31" spans="1:8" x14ac:dyDescent="0.2">
      <c r="A31" s="43"/>
      <c r="B31" s="43"/>
    </row>
    <row r="32" spans="1:8" x14ac:dyDescent="0.2">
      <c r="A32" s="43"/>
      <c r="B32" s="43"/>
    </row>
    <row r="33" spans="1:8" x14ac:dyDescent="0.2">
      <c r="A33" s="43"/>
      <c r="B33" s="43"/>
    </row>
    <row r="34" spans="1:8" x14ac:dyDescent="0.2">
      <c r="A34" s="43"/>
      <c r="B34" s="43"/>
    </row>
    <row r="35" spans="1:8" x14ac:dyDescent="0.2">
      <c r="A35" s="43"/>
      <c r="B35" s="43"/>
    </row>
    <row r="36" spans="1:8" x14ac:dyDescent="0.2">
      <c r="A36" s="43"/>
      <c r="B36" s="43"/>
    </row>
    <row r="37" spans="1:8" x14ac:dyDescent="0.2">
      <c r="A37" s="43"/>
      <c r="B37" s="43"/>
    </row>
    <row r="38" spans="1:8" x14ac:dyDescent="0.2">
      <c r="A38" s="43"/>
      <c r="B38" s="43"/>
    </row>
    <row r="39" spans="1:8" x14ac:dyDescent="0.2">
      <c r="A39" s="43"/>
      <c r="B39" s="43"/>
    </row>
    <row r="40" spans="1:8" x14ac:dyDescent="0.2">
      <c r="A40" s="43"/>
      <c r="B40" s="43"/>
    </row>
    <row r="41" spans="1:8" x14ac:dyDescent="0.2">
      <c r="A41" s="43"/>
      <c r="B41" s="43"/>
    </row>
    <row r="42" spans="1:8" s="38" customFormat="1" x14ac:dyDescent="0.2">
      <c r="A42" s="29"/>
      <c r="B42" s="29"/>
      <c r="C42" s="12"/>
      <c r="D42" s="12"/>
      <c r="E42" s="12"/>
      <c r="F42" s="12"/>
      <c r="G42" s="12"/>
      <c r="H42" s="12"/>
    </row>
  </sheetData>
  <sheetProtection algorithmName="SHA-512" hashValue="wLP8suHdvOXYCEuFairVy6ssuHsmJdQu8zwhljNBYgRgmhypGW2fdvOdBAdLHWAz6kPAGvtedL40nauAruOgmg==" saltValue="wuebp/2Asziy8irDm1j/QA==" spinCount="100000" sheet="1" objects="1" scenarios="1"/>
  <sortState ref="A2:I42">
    <sortCondition ref="A2:A42"/>
  </sortState>
  <phoneticPr fontId="5" type="noConversion"/>
  <pageMargins left="0.75" right="0.75" top="1" bottom="1" header="0.5" footer="0.5"/>
  <pageSetup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Unit Processes</vt:lpstr>
      <vt:lpstr>Permit Limits</vt:lpstr>
      <vt:lpstr>INV-3</vt:lpstr>
      <vt:lpstr>Process Emissions</vt:lpstr>
      <vt:lpstr>Emission Factors</vt:lpstr>
      <vt:lpstr>Diesel</vt:lpstr>
      <vt:lpstr>'Emission Factors'!Print_Area</vt:lpstr>
      <vt:lpstr>'Process Emissions'!Print_Area</vt:lpstr>
      <vt:lpstr>'Unit Processes'!Print_Area</vt:lpstr>
      <vt:lpstr>Processes</vt:lpstr>
    </vt:vector>
  </TitlesOfParts>
  <Company>iwrc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Gedlinske</dc:creator>
  <cp:lastModifiedBy>Page, Nick [DNR]</cp:lastModifiedBy>
  <cp:lastPrinted>2023-12-20T20:00:07Z</cp:lastPrinted>
  <dcterms:created xsi:type="dcterms:W3CDTF">1999-10-20T15:39:50Z</dcterms:created>
  <dcterms:modified xsi:type="dcterms:W3CDTF">2023-12-29T12:57:42Z</dcterms:modified>
</cp:coreProperties>
</file>