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22 Calculators\"/>
    </mc:Choice>
  </mc:AlternateContent>
  <xr:revisionPtr revIDLastSave="0" documentId="13_ncr:1_{25EF4B87-6373-466F-AB67-97085FABBDC4}" xr6:coauthVersionLast="36" xr6:coauthVersionMax="36" xr10:uidLastSave="{00000000-0000-0000-0000-000000000000}"/>
  <bookViews>
    <workbookView xWindow="285" yWindow="-15" windowWidth="17220" windowHeight="11580" xr2:uid="{00000000-000D-0000-FFFF-FFFF00000000}"/>
  </bookViews>
  <sheets>
    <sheet name="Combustion" sheetId="2" r:id="rId1"/>
    <sheet name="Permit Limits" sheetId="6" state="hidden" r:id="rId2"/>
    <sheet name="INV-3" sheetId="4" state="hidden" r:id="rId3"/>
    <sheet name="Process Emissions" sheetId="5" r:id="rId4"/>
    <sheet name="Emission Factors" sheetId="7" r:id="rId5"/>
  </sheets>
  <definedNames>
    <definedName name="Diesel">Combustion!$A$26:$A$27</definedName>
    <definedName name="_xlnm.Print_Area" localSheetId="0">Combustion!$B$1:$J$35</definedName>
    <definedName name="_xlnm.Print_Area" localSheetId="3">'Process Emissions'!$A$1:$F$48</definedName>
  </definedNames>
  <calcPr calcId="191029"/>
</workbook>
</file>

<file path=xl/calcChain.xml><?xml version="1.0" encoding="utf-8"?>
<calcChain xmlns="http://schemas.openxmlformats.org/spreadsheetml/2006/main">
  <c r="G25" i="2" l="1"/>
  <c r="J35" i="2" l="1"/>
  <c r="J20" i="2"/>
  <c r="J22" i="2"/>
  <c r="J34" i="2"/>
  <c r="J19" i="2"/>
  <c r="J33" i="2"/>
  <c r="J18" i="2"/>
  <c r="J32" i="2"/>
  <c r="J17" i="2"/>
  <c r="J29" i="2"/>
  <c r="J14" i="2"/>
  <c r="J31" i="2"/>
  <c r="J16" i="2"/>
  <c r="J30" i="2"/>
  <c r="J15" i="2"/>
  <c r="J28" i="2"/>
  <c r="J13" i="2"/>
  <c r="J27" i="2"/>
  <c r="J12" i="2"/>
  <c r="J26" i="2"/>
  <c r="J11" i="2"/>
  <c r="J25" i="2"/>
  <c r="J10" i="2"/>
  <c r="I22" i="2"/>
  <c r="J21" i="2"/>
  <c r="I21" i="2"/>
  <c r="I20" i="2"/>
  <c r="I19" i="2"/>
  <c r="I18" i="2"/>
  <c r="I17" i="2"/>
  <c r="I16" i="2"/>
  <c r="I15" i="2"/>
  <c r="I14" i="2"/>
  <c r="I13" i="2"/>
  <c r="I12" i="2"/>
  <c r="I11" i="2"/>
  <c r="C10" i="2" l="1"/>
  <c r="B38" i="5" l="1"/>
  <c r="E40" i="5" l="1"/>
  <c r="E16" i="5"/>
  <c r="E14" i="4"/>
  <c r="B11" i="2"/>
  <c r="A12" i="2"/>
  <c r="B7" i="5" s="1"/>
  <c r="A13" i="2"/>
  <c r="D6" i="4" s="1"/>
  <c r="B8" i="5"/>
  <c r="I13" i="4"/>
  <c r="C25" i="2"/>
  <c r="B32" i="5" s="1"/>
  <c r="D33" i="4"/>
  <c r="E25" i="2"/>
  <c r="D30" i="4" s="1"/>
  <c r="E10" i="2"/>
  <c r="D4" i="4" s="1"/>
  <c r="G22" i="2"/>
  <c r="H22" i="2"/>
  <c r="G21" i="2"/>
  <c r="H21" i="2"/>
  <c r="H20" i="2"/>
  <c r="G20" i="2"/>
  <c r="G19" i="2"/>
  <c r="H19" i="2"/>
  <c r="H18" i="2"/>
  <c r="I35" i="2"/>
  <c r="G35" i="2"/>
  <c r="I34" i="2"/>
  <c r="G34" i="2"/>
  <c r="H35" i="2"/>
  <c r="H34" i="2"/>
  <c r="H33" i="2"/>
  <c r="G33" i="2"/>
  <c r="I33" i="2"/>
  <c r="E19" i="6"/>
  <c r="I19" i="6"/>
  <c r="E18" i="6"/>
  <c r="H26" i="2"/>
  <c r="H27" i="2"/>
  <c r="H28" i="2"/>
  <c r="H29" i="2"/>
  <c r="H30" i="2"/>
  <c r="H31" i="2"/>
  <c r="H32" i="2"/>
  <c r="H25" i="2"/>
  <c r="D38" i="5" s="1"/>
  <c r="B34" i="5"/>
  <c r="D32" i="4"/>
  <c r="B31" i="5"/>
  <c r="I43" i="4"/>
  <c r="I42" i="4"/>
  <c r="D7" i="4"/>
  <c r="I15" i="4"/>
  <c r="D31" i="4"/>
  <c r="E25" i="6"/>
  <c r="E26" i="6"/>
  <c r="C9" i="2"/>
  <c r="F7" i="4"/>
  <c r="G10" i="2"/>
  <c r="H10" i="2"/>
  <c r="I10" i="2"/>
  <c r="G11" i="2"/>
  <c r="B15" i="5" s="1"/>
  <c r="H11" i="2"/>
  <c r="G12" i="2"/>
  <c r="B16" i="5" s="1"/>
  <c r="H12" i="2"/>
  <c r="G13" i="2"/>
  <c r="B17" i="5" s="1"/>
  <c r="H13" i="2"/>
  <c r="G14" i="2"/>
  <c r="H14" i="2"/>
  <c r="G15" i="2"/>
  <c r="B19" i="5" s="1"/>
  <c r="H15" i="2"/>
  <c r="G16" i="2"/>
  <c r="H16" i="2"/>
  <c r="G17" i="2"/>
  <c r="H17" i="2"/>
  <c r="G18" i="2"/>
  <c r="C24" i="2"/>
  <c r="B33" i="5"/>
  <c r="I25" i="2"/>
  <c r="G26" i="2"/>
  <c r="B39" i="5" s="1"/>
  <c r="I26" i="2"/>
  <c r="G27" i="2"/>
  <c r="I27" i="2"/>
  <c r="G28" i="2"/>
  <c r="B41" i="5" s="1"/>
  <c r="I28" i="2"/>
  <c r="G29" i="2"/>
  <c r="B42" i="5" s="1"/>
  <c r="I29" i="2"/>
  <c r="G30" i="2"/>
  <c r="I30" i="2"/>
  <c r="G31" i="2"/>
  <c r="B44" i="5" s="1"/>
  <c r="I31" i="2"/>
  <c r="G32" i="2"/>
  <c r="I32" i="2"/>
  <c r="B9" i="5"/>
  <c r="F33" i="4"/>
  <c r="C38" i="5"/>
  <c r="I18" i="6"/>
  <c r="D25" i="5" l="1"/>
  <c r="D23" i="5"/>
  <c r="B22" i="5"/>
  <c r="C18" i="5"/>
  <c r="F18" i="5" s="1"/>
  <c r="B18" i="5"/>
  <c r="B23" i="5"/>
  <c r="B12" i="4"/>
  <c r="D12" i="4" s="1"/>
  <c r="B14" i="5"/>
  <c r="B24" i="5"/>
  <c r="A48" i="4"/>
  <c r="B45" i="5"/>
  <c r="C43" i="5"/>
  <c r="F43" i="5" s="1"/>
  <c r="B43" i="5"/>
  <c r="C20" i="5"/>
  <c r="F20" i="5" s="1"/>
  <c r="B20" i="5"/>
  <c r="C48" i="5"/>
  <c r="F48" i="5" s="1"/>
  <c r="B48" i="5"/>
  <c r="C25" i="5"/>
  <c r="F25" i="5" s="1"/>
  <c r="B25" i="5"/>
  <c r="C16" i="5"/>
  <c r="F16" i="5" s="1"/>
  <c r="C40" i="5"/>
  <c r="F40" i="5" s="1"/>
  <c r="B40" i="5"/>
  <c r="B21" i="5"/>
  <c r="B49" i="4"/>
  <c r="F49" i="4" s="1"/>
  <c r="J49" i="4" s="1"/>
  <c r="B46" i="5"/>
  <c r="A50" i="4"/>
  <c r="B47" i="5"/>
  <c r="C26" i="5"/>
  <c r="F26" i="5" s="1"/>
  <c r="B26" i="5"/>
  <c r="D48" i="5"/>
  <c r="A51" i="4"/>
  <c r="C14" i="4"/>
  <c r="D39" i="5"/>
  <c r="B51" i="4"/>
  <c r="F51" i="4" s="1"/>
  <c r="J51" i="4" s="1"/>
  <c r="D15" i="5"/>
  <c r="A22" i="4"/>
  <c r="C47" i="4"/>
  <c r="C51" i="4"/>
  <c r="D40" i="5"/>
  <c r="D22" i="4"/>
  <c r="D47" i="5"/>
  <c r="B43" i="4"/>
  <c r="F43" i="4" s="1"/>
  <c r="J43" i="4" s="1"/>
  <c r="B10" i="5"/>
  <c r="D51" i="4"/>
  <c r="C39" i="5"/>
  <c r="F39" i="5" s="1"/>
  <c r="D43" i="4"/>
  <c r="A49" i="4"/>
  <c r="C46" i="5"/>
  <c r="F46" i="5" s="1"/>
  <c r="D42" i="5"/>
  <c r="D50" i="4"/>
  <c r="B6" i="5"/>
  <c r="B50" i="4"/>
  <c r="F50" i="4" s="1"/>
  <c r="J50" i="4" s="1"/>
  <c r="I49" i="4"/>
  <c r="C50" i="4"/>
  <c r="C49" i="4"/>
  <c r="B47" i="4"/>
  <c r="F47" i="4" s="1"/>
  <c r="J47" i="4" s="1"/>
  <c r="C47" i="5"/>
  <c r="F47" i="5" s="1"/>
  <c r="F38" i="5"/>
  <c r="I47" i="4"/>
  <c r="A47" i="4"/>
  <c r="B42" i="4"/>
  <c r="F42" i="4" s="1"/>
  <c r="J42" i="4" s="1"/>
  <c r="C44" i="5"/>
  <c r="F44" i="5" s="1"/>
  <c r="D44" i="5"/>
  <c r="C42" i="5"/>
  <c r="F42" i="5" s="1"/>
  <c r="D42" i="4"/>
  <c r="C24" i="5"/>
  <c r="F24" i="5" s="1"/>
  <c r="D22" i="5"/>
  <c r="B22" i="4"/>
  <c r="F22" i="4" s="1"/>
  <c r="J22" i="4" s="1"/>
  <c r="D19" i="5"/>
  <c r="C13" i="4"/>
  <c r="B38" i="4"/>
  <c r="F38" i="4" s="1"/>
  <c r="C23" i="5"/>
  <c r="F23" i="5" s="1"/>
  <c r="B14" i="4"/>
  <c r="I14" i="4" s="1"/>
  <c r="D18" i="5"/>
  <c r="D14" i="4"/>
  <c r="C15" i="5"/>
  <c r="F15" i="5" s="1"/>
  <c r="D46" i="5"/>
  <c r="C14" i="5"/>
  <c r="F14" i="5" s="1"/>
  <c r="D16" i="5"/>
  <c r="C22" i="4"/>
  <c r="D13" i="4"/>
  <c r="D26" i="5"/>
  <c r="B13" i="4"/>
  <c r="F13" i="4" s="1"/>
  <c r="J13" i="4" s="1"/>
  <c r="D41" i="5"/>
  <c r="C43" i="4"/>
  <c r="D14" i="5"/>
  <c r="D47" i="4"/>
  <c r="B30" i="5"/>
  <c r="C42" i="4"/>
  <c r="B21" i="4"/>
  <c r="F21" i="4" s="1"/>
  <c r="J21" i="4" s="1"/>
  <c r="D15" i="4"/>
  <c r="D45" i="5"/>
  <c r="D21" i="5"/>
  <c r="C15" i="4"/>
  <c r="D20" i="5"/>
  <c r="B48" i="4"/>
  <c r="F48" i="4" s="1"/>
  <c r="J48" i="4" s="1"/>
  <c r="D43" i="5"/>
  <c r="C19" i="5"/>
  <c r="F19" i="5" s="1"/>
  <c r="C22" i="5"/>
  <c r="F22" i="5" s="1"/>
  <c r="D17" i="5"/>
  <c r="C41" i="5"/>
  <c r="F41" i="5" s="1"/>
  <c r="C21" i="5"/>
  <c r="F21" i="5" s="1"/>
  <c r="I48" i="4"/>
  <c r="C48" i="4"/>
  <c r="D21" i="4"/>
  <c r="D48" i="4"/>
  <c r="C17" i="5"/>
  <c r="F17" i="5" s="1"/>
  <c r="C21" i="4"/>
  <c r="A21" i="4"/>
  <c r="C45" i="5"/>
  <c r="F45" i="5" s="1"/>
  <c r="D24" i="5"/>
  <c r="D5" i="4"/>
  <c r="B15" i="4"/>
  <c r="F15" i="4" s="1"/>
  <c r="J15" i="4" s="1"/>
  <c r="D49" i="4"/>
  <c r="F14" i="4" l="1"/>
  <c r="C12" i="4"/>
  <c r="F12" i="4"/>
  <c r="J12" i="4" s="1"/>
  <c r="J14" i="4"/>
  <c r="D38" i="4"/>
  <c r="C38" i="4"/>
  <c r="J38" i="4"/>
</calcChain>
</file>

<file path=xl/sharedStrings.xml><?xml version="1.0" encoding="utf-8"?>
<sst xmlns="http://schemas.openxmlformats.org/spreadsheetml/2006/main" count="352" uniqueCount="154">
  <si>
    <t>Emission Year:</t>
  </si>
  <si>
    <t>Facility Name:</t>
  </si>
  <si>
    <t>12)  Maximum Hourly Design Rate</t>
  </si>
  <si>
    <t>Per Hour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</si>
  <si>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</si>
  <si>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</si>
  <si>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</si>
  <si>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</si>
  <si>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</si>
  <si>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</si>
  <si>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</si>
  <si>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</si>
  <si>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</si>
  <si>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</si>
  <si>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</si>
  <si>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</si>
  <si>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</si>
  <si>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</si>
  <si>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NOx</t>
  </si>
  <si>
    <t>VOC</t>
  </si>
  <si>
    <t>CO</t>
  </si>
  <si>
    <t>Lead</t>
  </si>
  <si>
    <t>Ammonia</t>
  </si>
  <si>
    <t>POTENTIAL EMISSIONS - Individual HAPs and additional regulated air pollutants - list the name in Column 14</t>
  </si>
  <si>
    <t>Permit Limits</t>
  </si>
  <si>
    <t>lb/hr</t>
  </si>
  <si>
    <t>ton/yr</t>
  </si>
  <si>
    <t>PM10</t>
  </si>
  <si>
    <t>Sulfur Dioxides (SO2)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</si>
  <si>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</si>
  <si>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</si>
  <si>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</si>
  <si>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</si>
  <si>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</si>
  <si>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t>Nitrogen Oxides (NOx)</t>
  </si>
  <si>
    <t>Hours of Operation Limit</t>
  </si>
  <si>
    <t>Hours/Yr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</si>
  <si>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</si>
  <si>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</si>
  <si>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t>Note: If you have an hrs/day limit multipy by 365 to get hrs/yr</t>
  </si>
  <si>
    <t>Permit Number (s)</t>
  </si>
  <si>
    <t>PM2.5</t>
  </si>
  <si>
    <t>4)    SCC Number</t>
  </si>
  <si>
    <t>5)    Description of the Process</t>
  </si>
  <si>
    <t>9)    Raw Material - OR Fuels Used</t>
  </si>
  <si>
    <t>Maximum Hourly Usage Rate</t>
  </si>
  <si>
    <t>SCC No.</t>
  </si>
  <si>
    <t>Process</t>
  </si>
  <si>
    <t>Description</t>
  </si>
  <si>
    <t>Fuel</t>
  </si>
  <si>
    <t>Units</t>
  </si>
  <si>
    <t>PM 2.5</t>
  </si>
  <si>
    <t>Source</t>
  </si>
  <si>
    <t>PM 10</t>
  </si>
  <si>
    <t xml:space="preserve">NOx </t>
  </si>
  <si>
    <t xml:space="preserve">VOC </t>
  </si>
  <si>
    <t>SCC #</t>
  </si>
  <si>
    <t>Diesel Fuel Combustion &lt;600 bhp</t>
  </si>
  <si>
    <t>Diesel Fuel</t>
  </si>
  <si>
    <t>WebFIRE</t>
  </si>
  <si>
    <t xml:space="preserve">Diesel Fuel Combustion &gt;600bhp </t>
  </si>
  <si>
    <t>DNR Memo</t>
  </si>
  <si>
    <t>Pollutant</t>
  </si>
  <si>
    <t>EF Units</t>
  </si>
  <si>
    <t>MMBtu</t>
  </si>
  <si>
    <t>%</t>
  </si>
  <si>
    <t>Percent Sulfur Content Limit</t>
  </si>
  <si>
    <t>gallons</t>
  </si>
  <si>
    <t>1000 gallons</t>
  </si>
  <si>
    <t>1 gal = 0.001 1000 gal</t>
  </si>
  <si>
    <t>Natural Gas:</t>
  </si>
  <si>
    <t>1 gal = 0.140 MMBtu</t>
  </si>
  <si>
    <t xml:space="preserve"> </t>
  </si>
  <si>
    <t>Conversion Table</t>
  </si>
  <si>
    <t>Diesel Fuel:</t>
  </si>
  <si>
    <t>All Fuels:</t>
  </si>
  <si>
    <t>Formaldehyde</t>
  </si>
  <si>
    <t>AP-42 Table 3.3-1</t>
  </si>
  <si>
    <t>AP-42 Table 3.4-1</t>
  </si>
  <si>
    <t>Benzene</t>
  </si>
  <si>
    <t>Toluene</t>
  </si>
  <si>
    <t>Dual Fuel Combustion</t>
  </si>
  <si>
    <t>Dual Fuel (95% Natural Gas, 5% Diesel Fuel)</t>
  </si>
  <si>
    <t xml:space="preserve">Dual Fuel Combustion </t>
  </si>
  <si>
    <t>AP-42 Table 3.3-2</t>
  </si>
  <si>
    <t>% Sulfur in Fuel Oil:</t>
  </si>
  <si>
    <t>Form INV-3 EMISSION UNIT DESCRIPTION - POTENTIAL EMISSIONS</t>
  </si>
  <si>
    <t>Note: Dual Fuel Generators will need to complete an INV-3 form for Diesel Fuel Combustion and Dual Fuel Combustion</t>
  </si>
  <si>
    <t>Natural Gas Usage Limit</t>
  </si>
  <si>
    <t>Diesel Fuel Usage Limit</t>
  </si>
  <si>
    <t>Gallons/Yr</t>
  </si>
  <si>
    <t>Cubic Ft/Yr</t>
  </si>
  <si>
    <t>Annual Fuel Usage Limit</t>
  </si>
  <si>
    <t>MMBtu/Yr</t>
  </si>
  <si>
    <t>MMBtu/yr</t>
  </si>
  <si>
    <t>Diesel Combustion:</t>
  </si>
  <si>
    <t>Dual Fuel Combustion:</t>
  </si>
  <si>
    <t>=</t>
  </si>
  <si>
    <t>Limits Used to Calculate Potential Emissions:</t>
  </si>
  <si>
    <t xml:space="preserve">    95% Natural Gas 5% Diesel</t>
  </si>
  <si>
    <t>Naphthalene</t>
  </si>
  <si>
    <t>AP-42 Table 3.4-4</t>
  </si>
  <si>
    <t>Xylene</t>
  </si>
  <si>
    <t>AP-42 Table 3.4-3</t>
  </si>
  <si>
    <t>Note: Applicable pollutants: PM2.5, VOC, CO, Benzene, Formaldehyde, Toluene, Naphthalene and Xylene (these emission factors are higher for dual fuel combustion when compared to diesel fuel combustion).</t>
  </si>
  <si>
    <t>Acetaldehyde</t>
  </si>
  <si>
    <t>Acrolein</t>
  </si>
  <si>
    <t>Note: Applicable pollutants: PM10, SO2, Nox, Acetaldehyde and Acrolein (these emission factors are higher for internal diesel combustion when compared to dual fuel combustion).</t>
  </si>
  <si>
    <r>
      <t xml:space="preserve">Process - </t>
    </r>
    <r>
      <rPr>
        <b/>
        <sz val="8"/>
        <rFont val="Times New Roman"/>
        <family val="1"/>
      </rPr>
      <t>(Drop Down Menu)</t>
    </r>
  </si>
  <si>
    <t>If your facility has a facility-wide tons/yr limit, to avoid over-estimating facility-wide potential emissions be sure to only enter the limit on one INV-3 Form (tons/yr column).</t>
  </si>
  <si>
    <t>AP-42 Table 3.4-1 &amp; footnote f</t>
  </si>
  <si>
    <t>Cubic Ft/yr</t>
  </si>
  <si>
    <t>Gallons/yr</t>
  </si>
  <si>
    <t>Emission Unit Fuel Usages:</t>
  </si>
  <si>
    <t>MMBtu/Hr</t>
  </si>
  <si>
    <t>Please Note: IAC rule 23.3(3)"b" limits sulfur content in #1 and #2 fuel oil to 0.5%.</t>
  </si>
  <si>
    <t>Diesel Fuel Combustion &gt; 600 bhp</t>
  </si>
  <si>
    <t>Diesel Fuel Combustion ≤ 600 bhp</t>
  </si>
  <si>
    <t xml:space="preserve">Note:  5% of the diesel usage will be applied to dual fuel combustion, 95% to diesel fuel combustion. If </t>
  </si>
  <si>
    <t>no natural gas was used in the unit, 100% of the diesel usage will be applied to diesel fuel combustion.</t>
  </si>
  <si>
    <t>E6BTU-Million BTUS</t>
  </si>
  <si>
    <t>Calc Method</t>
  </si>
  <si>
    <t>28-USEPA EF (pre-control)</t>
  </si>
  <si>
    <t>29-S/L/T EF (pre-control)</t>
  </si>
  <si>
    <t>E6BTU-Million BTUS/yr</t>
  </si>
  <si>
    <t>Calculation Method</t>
  </si>
  <si>
    <t xml:space="preserve">Please fill in the yellow boxes. Once complete, click to the Process Emissions tab below. </t>
  </si>
  <si>
    <t>Information on this page should be referenced as you enter data into the Process Emissions section of SLEIS.</t>
  </si>
  <si>
    <t>Process Emissions</t>
  </si>
  <si>
    <t>Note: Dual Fuel Generators will need to enter process emissions for both Diesel Fuel Combustion and Dual Fuel Combustion</t>
  </si>
  <si>
    <t>SLEIS PROCESS TAB</t>
  </si>
  <si>
    <t>SCC Number</t>
  </si>
  <si>
    <t>Description of Process</t>
  </si>
  <si>
    <t>Actual Throughput -  Annual Total</t>
  </si>
  <si>
    <t>Throughput Unit of Measure</t>
  </si>
  <si>
    <t>Throughput Material</t>
  </si>
  <si>
    <t>SLEIS EMISSIONS TAB</t>
  </si>
  <si>
    <t>Pollutant Code:</t>
  </si>
  <si>
    <t>PM25-PRI-PM2.5 Primary (Filt + Cond)</t>
  </si>
  <si>
    <t>PM10-PRI-PM10 Primary (Filt + Cond)</t>
  </si>
  <si>
    <t>SO2 - Sulfur Dioxide</t>
  </si>
  <si>
    <t xml:space="preserve">NOX - Nitrogen Oxides </t>
  </si>
  <si>
    <t>VOC - Volatile Organic Compounds</t>
  </si>
  <si>
    <t>CO - Carbon Monoxide</t>
  </si>
  <si>
    <t>Emission Factor (lbs/unit)</t>
  </si>
  <si>
    <t>Estimated Emissions (Tons/Yr)</t>
  </si>
  <si>
    <t>50000 - Formaldehyde</t>
  </si>
  <si>
    <t>71432 - Benzene</t>
  </si>
  <si>
    <t>108883 - Toluene</t>
  </si>
  <si>
    <t>91203 - Naphthalene</t>
  </si>
  <si>
    <t>1330207 - Xylene (Mixed Isomers)</t>
  </si>
  <si>
    <t>75070 - Acetaldehyde</t>
  </si>
  <si>
    <t>107028 - Acrolein</t>
  </si>
  <si>
    <t>Updated: 11-3-22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</si>
</sst>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"/>
    <numFmt numFmtId="167" formatCode="0.000000"/>
    <numFmt numFmtId="168" formatCode="0.0000000"/>
  </numFmts>
  <fonts count="35" x14ac:knownFonts="1">
    <font>
      <sz val="10"/>
      <name val="Arial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sz val="7"/>
      <name val="Arial"/>
      <family val="2"/>
    </font>
    <font>
      <sz val="7"/>
      <color indexed="12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9"/>
      <color rgb="FF0000FF"/>
      <name val="Arial"/>
      <family val="2"/>
    </font>
    <font>
      <i/>
      <sz val="9"/>
      <color rgb="FFFF0000"/>
      <name val="Arial"/>
      <family val="2"/>
    </font>
    <font>
      <sz val="8"/>
      <color indexed="12"/>
      <name val="Times New Roman"/>
      <family val="1"/>
    </font>
    <font>
      <b/>
      <sz val="9"/>
      <name val="Times New Roman"/>
      <family val="1"/>
    </font>
    <font>
      <b/>
      <sz val="8"/>
      <color rgb="FFFF0000"/>
      <name val="Arial"/>
      <family val="2"/>
    </font>
    <font>
      <b/>
      <sz val="11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/>
    <xf numFmtId="0" fontId="0" fillId="0" borderId="2" xfId="0" applyBorder="1" applyAlignment="1"/>
    <xf numFmtId="0" fontId="8" fillId="0" borderId="2" xfId="0" applyFont="1" applyBorder="1" applyAlignment="1"/>
    <xf numFmtId="2" fontId="1" fillId="0" borderId="2" xfId="0" applyNumberFormat="1" applyFont="1" applyBorder="1" applyAlignment="1">
      <alignment horizontal="center"/>
    </xf>
    <xf numFmtId="0" fontId="0" fillId="0" borderId="1" xfId="0" applyBorder="1" applyProtection="1"/>
    <xf numFmtId="0" fontId="6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0" fillId="0" borderId="1" xfId="0" applyBorder="1" applyAlignment="1" applyProtection="1">
      <alignment horizontal="center"/>
    </xf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Fill="1" applyProtection="1"/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12" fillId="0" borderId="1" xfId="0" applyFont="1" applyBorder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0" fillId="0" borderId="0" xfId="0" applyBorder="1"/>
    <xf numFmtId="2" fontId="17" fillId="0" borderId="1" xfId="0" applyNumberFormat="1" applyFont="1" applyBorder="1" applyAlignment="1">
      <alignment horizontal="center"/>
    </xf>
    <xf numFmtId="0" fontId="20" fillId="3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Protection="1"/>
    <xf numFmtId="2" fontId="17" fillId="0" borderId="1" xfId="0" applyNumberFormat="1" applyFont="1" applyBorder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1" fillId="0" borderId="0" xfId="0" applyFont="1" applyProtection="1"/>
    <xf numFmtId="0" fontId="12" fillId="0" borderId="0" xfId="0" applyFont="1" applyProtection="1"/>
    <xf numFmtId="0" fontId="11" fillId="0" borderId="0" xfId="0" applyFont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5" fillId="0" borderId="0" xfId="0" applyFont="1" applyProtection="1"/>
    <xf numFmtId="0" fontId="17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/>
    <xf numFmtId="0" fontId="17" fillId="0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12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Protection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</xf>
    <xf numFmtId="0" fontId="20" fillId="0" borderId="1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2" fontId="20" fillId="0" borderId="0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1" fontId="0" fillId="0" borderId="0" xfId="0" applyNumberFormat="1" applyProtection="1"/>
    <xf numFmtId="164" fontId="12" fillId="0" borderId="1" xfId="0" applyNumberFormat="1" applyFont="1" applyBorder="1" applyAlignment="1" applyProtection="1">
      <alignment horizontal="center"/>
    </xf>
    <xf numFmtId="0" fontId="22" fillId="0" borderId="0" xfId="0" applyFont="1" applyProtection="1"/>
    <xf numFmtId="0" fontId="4" fillId="0" borderId="0" xfId="0" applyFont="1" applyFill="1" applyBorder="1" applyProtection="1"/>
    <xf numFmtId="0" fontId="11" fillId="0" borderId="4" xfId="0" applyFont="1" applyBorder="1" applyAlignment="1" applyProtection="1"/>
    <xf numFmtId="0" fontId="23" fillId="0" borderId="1" xfId="0" applyFont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2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</xf>
    <xf numFmtId="1" fontId="13" fillId="0" borderId="0" xfId="0" applyNumberFormat="1" applyFont="1" applyAlignment="1" applyProtection="1">
      <alignment horizontal="center"/>
    </xf>
    <xf numFmtId="168" fontId="0" fillId="0" borderId="0" xfId="0" applyNumberFormat="1" applyAlignment="1" applyProtection="1">
      <alignment horizontal="center"/>
    </xf>
    <xf numFmtId="168" fontId="20" fillId="0" borderId="1" xfId="0" applyNumberFormat="1" applyFont="1" applyBorder="1" applyAlignment="1" applyProtection="1">
      <alignment horizontal="center"/>
    </xf>
    <xf numFmtId="167" fontId="20" fillId="0" borderId="1" xfId="0" applyNumberFormat="1" applyFont="1" applyBorder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0" fontId="25" fillId="0" borderId="0" xfId="0" applyFont="1"/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/>
    <xf numFmtId="0" fontId="23" fillId="0" borderId="0" xfId="0" applyFont="1" applyFill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23" fillId="0" borderId="3" xfId="0" applyFont="1" applyBorder="1" applyAlignment="1" applyProtection="1">
      <alignment horizontal="center"/>
    </xf>
    <xf numFmtId="168" fontId="20" fillId="0" borderId="3" xfId="0" applyNumberFormat="1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0" fillId="0" borderId="0" xfId="0" applyNumberFormat="1" applyBorder="1" applyAlignment="1"/>
    <xf numFmtId="2" fontId="20" fillId="5" borderId="1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29" fillId="0" borderId="1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wrapText="1"/>
    </xf>
    <xf numFmtId="0" fontId="13" fillId="0" borderId="1" xfId="0" applyFont="1" applyBorder="1" applyAlignment="1" applyProtection="1">
      <alignment horizontal="center"/>
    </xf>
    <xf numFmtId="0" fontId="17" fillId="6" borderId="1" xfId="0" applyFont="1" applyFill="1" applyBorder="1"/>
    <xf numFmtId="4" fontId="0" fillId="5" borderId="1" xfId="0" applyNumberFormat="1" applyFill="1" applyBorder="1" applyAlignment="1" applyProtection="1">
      <alignment horizontal="center"/>
      <protection locked="0"/>
    </xf>
    <xf numFmtId="4" fontId="20" fillId="0" borderId="1" xfId="0" applyNumberFormat="1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7" fillId="7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</xf>
    <xf numFmtId="0" fontId="30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 vertical="center" wrapText="1"/>
    </xf>
    <xf numFmtId="0" fontId="27" fillId="0" borderId="0" xfId="0" applyFont="1" applyBorder="1" applyAlignment="1"/>
    <xf numFmtId="2" fontId="17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8" xfId="0" applyFont="1" applyBorder="1" applyAlignment="1"/>
    <xf numFmtId="0" fontId="22" fillId="0" borderId="0" xfId="0" applyFont="1" applyFill="1" applyBorder="1" applyAlignment="1" applyProtection="1"/>
    <xf numFmtId="0" fontId="0" fillId="5" borderId="1" xfId="0" applyFill="1" applyBorder="1" applyAlignment="1" applyProtection="1">
      <protection locked="0"/>
    </xf>
    <xf numFmtId="0" fontId="4" fillId="0" borderId="4" xfId="0" applyFont="1" applyBorder="1" applyProtection="1"/>
    <xf numFmtId="0" fontId="4" fillId="3" borderId="4" xfId="0" applyFont="1" applyFill="1" applyBorder="1" applyAlignment="1" applyProtection="1">
      <protection locked="0"/>
    </xf>
    <xf numFmtId="0" fontId="4" fillId="3" borderId="2" xfId="0" applyFont="1" applyFill="1" applyBorder="1" applyAlignment="1" applyProtection="1">
      <protection locked="0"/>
    </xf>
    <xf numFmtId="0" fontId="8" fillId="0" borderId="6" xfId="0" applyFont="1" applyBorder="1" applyAlignment="1"/>
    <xf numFmtId="0" fontId="8" fillId="0" borderId="0" xfId="0" applyFont="1" applyBorder="1" applyAlignment="1"/>
    <xf numFmtId="0" fontId="0" fillId="3" borderId="2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6" fillId="0" borderId="0" xfId="0" applyFont="1" applyBorder="1" applyAlignment="1"/>
    <xf numFmtId="0" fontId="5" fillId="0" borderId="0" xfId="0" applyFont="1" applyAlignment="1" applyProtection="1">
      <alignment horizontal="center"/>
    </xf>
    <xf numFmtId="0" fontId="31" fillId="0" borderId="1" xfId="0" applyFont="1" applyBorder="1" applyAlignment="1" applyProtection="1">
      <alignment horizontal="center" wrapText="1"/>
    </xf>
    <xf numFmtId="0" fontId="32" fillId="0" borderId="8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25" fillId="0" borderId="1" xfId="0" applyFont="1" applyBorder="1" applyAlignment="1" applyProtection="1">
      <alignment wrapText="1"/>
    </xf>
    <xf numFmtId="0" fontId="25" fillId="0" borderId="1" xfId="0" applyFont="1" applyBorder="1" applyAlignment="1" applyProtection="1"/>
    <xf numFmtId="0" fontId="25" fillId="0" borderId="3" xfId="0" applyFont="1" applyBorder="1" applyAlignment="1" applyProtection="1"/>
    <xf numFmtId="0" fontId="25" fillId="0" borderId="1" xfId="0" applyFont="1" applyBorder="1" applyProtection="1"/>
    <xf numFmtId="0" fontId="1" fillId="3" borderId="11" xfId="0" applyFont="1" applyFill="1" applyBorder="1" applyAlignment="1" applyProtection="1"/>
    <xf numFmtId="0" fontId="1" fillId="3" borderId="9" xfId="0" applyFont="1" applyFill="1" applyBorder="1" applyAlignment="1" applyProtection="1"/>
    <xf numFmtId="0" fontId="8" fillId="3" borderId="12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protection locked="0"/>
    </xf>
    <xf numFmtId="0" fontId="13" fillId="3" borderId="1" xfId="0" applyFont="1" applyFill="1" applyBorder="1" applyAlignment="1" applyProtection="1">
      <alignment horizontal="left"/>
    </xf>
    <xf numFmtId="0" fontId="33" fillId="0" borderId="0" xfId="0" applyFont="1"/>
    <xf numFmtId="0" fontId="5" fillId="3" borderId="1" xfId="0" applyFont="1" applyFill="1" applyBorder="1" applyAlignment="1" applyProtection="1">
      <alignment horizontal="left"/>
    </xf>
    <xf numFmtId="0" fontId="13" fillId="3" borderId="4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3" fillId="0" borderId="6" xfId="0" applyFont="1" applyFill="1" applyBorder="1" applyAlignment="1" applyProtection="1">
      <alignment horizontal="left"/>
    </xf>
    <xf numFmtId="0" fontId="34" fillId="8" borderId="0" xfId="0" applyFont="1" applyFill="1" applyBorder="1" applyAlignment="1" applyProtection="1">
      <alignment horizontal="left"/>
    </xf>
    <xf numFmtId="0" fontId="34" fillId="0" borderId="0" xfId="0" applyFont="1" applyFill="1" applyBorder="1" applyAlignment="1" applyProtection="1">
      <alignment horizontal="left"/>
    </xf>
    <xf numFmtId="0" fontId="16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/>
    <xf numFmtId="2" fontId="16" fillId="0" borderId="0" xfId="0" applyNumberFormat="1" applyFont="1" applyBorder="1" applyAlignment="1"/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/>
    <xf numFmtId="0" fontId="0" fillId="0" borderId="0" xfId="0" applyBorder="1" applyAlignment="1"/>
    <xf numFmtId="0" fontId="4" fillId="0" borderId="1" xfId="0" applyFont="1" applyBorder="1" applyAlignment="1"/>
    <xf numFmtId="0" fontId="4" fillId="0" borderId="5" xfId="0" applyFont="1" applyBorder="1" applyAlignment="1"/>
    <xf numFmtId="0" fontId="4" fillId="0" borderId="13" xfId="0" applyFont="1" applyBorder="1" applyAlignment="1"/>
    <xf numFmtId="2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2" fontId="16" fillId="0" borderId="0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0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/>
    <xf numFmtId="0" fontId="15" fillId="0" borderId="1" xfId="0" applyNumberFormat="1" applyFont="1" applyBorder="1" applyAlignment="1"/>
    <xf numFmtId="0" fontId="34" fillId="8" borderId="8" xfId="0" applyFont="1" applyFill="1" applyBorder="1" applyAlignment="1" applyProtection="1">
      <alignment horizontal="left"/>
    </xf>
    <xf numFmtId="0" fontId="28" fillId="0" borderId="0" xfId="0" applyFont="1" applyProtection="1"/>
    <xf numFmtId="0" fontId="28" fillId="0" borderId="0" xfId="0" applyFont="1" applyFill="1" applyBorder="1" applyAlignment="1" applyProtection="1"/>
    <xf numFmtId="0" fontId="0" fillId="3" borderId="4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13" fillId="0" borderId="0" xfId="0" applyFont="1" applyAlignment="1" applyProtection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/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8" fillId="0" borderId="4" xfId="0" applyFont="1" applyBorder="1" applyAlignment="1"/>
    <xf numFmtId="0" fontId="8" fillId="0" borderId="2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/>
    <xf numFmtId="0" fontId="6" fillId="0" borderId="0" xfId="0" applyFont="1" applyBorder="1" applyAlignment="1"/>
    <xf numFmtId="0" fontId="27" fillId="0" borderId="0" xfId="0" applyFont="1" applyBorder="1" applyAlignment="1"/>
    <xf numFmtId="165" fontId="15" fillId="0" borderId="11" xfId="0" applyNumberFormat="1" applyFont="1" applyBorder="1" applyAlignment="1">
      <alignment horizontal="center"/>
    </xf>
    <xf numFmtId="165" fontId="16" fillId="0" borderId="9" xfId="0" applyNumberFormat="1" applyFont="1" applyBorder="1" applyAlignment="1"/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al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B16" zoomScale="115" workbookViewId="0">
      <selection activeCell="B1" sqref="B1"/>
    </sheetView>
  </sheetViews>
  <sheetFormatPr defaultRowHeight="12.75" x14ac:dyDescent="0.2"/>
  <cols>
    <col min="1" max="1" width="0.140625" style="12" hidden="1" customWidth="1"/>
    <col min="2" max="2" width="28.140625" style="12" customWidth="1"/>
    <col min="3" max="3" width="10.85546875" style="12" customWidth="1"/>
    <col min="4" max="4" width="10.42578125" style="12" customWidth="1"/>
    <col min="5" max="5" width="8.28515625" style="12" customWidth="1"/>
    <col min="6" max="6" width="10.42578125" style="12" customWidth="1"/>
    <col min="7" max="7" width="9.5703125" style="12" customWidth="1"/>
    <col min="8" max="8" width="15.140625" style="12" customWidth="1"/>
    <col min="9" max="9" width="13" style="12" customWidth="1"/>
    <col min="10" max="10" width="17.42578125" style="12" customWidth="1"/>
    <col min="11" max="11" width="17.7109375" style="12" customWidth="1"/>
    <col min="12" max="12" width="16.7109375" style="12" customWidth="1"/>
    <col min="13" max="13" width="11" style="12" bestFit="1" customWidth="1"/>
    <col min="14" max="14" width="9.140625" style="16"/>
    <col min="15" max="15" width="9.7109375" style="16" customWidth="1"/>
    <col min="16" max="16384" width="9.140625" style="12"/>
  </cols>
  <sheetData>
    <row r="1" spans="1:15" ht="15.75" x14ac:dyDescent="0.25">
      <c r="B1" s="11" t="s">
        <v>81</v>
      </c>
      <c r="C1" s="11"/>
      <c r="D1" s="11"/>
      <c r="J1" s="110" t="s">
        <v>153</v>
      </c>
    </row>
    <row r="2" spans="1:15" x14ac:dyDescent="0.2">
      <c r="B2" s="137" t="s">
        <v>126</v>
      </c>
      <c r="C2" s="138"/>
      <c r="D2" s="139"/>
      <c r="E2" s="139"/>
      <c r="F2" s="140"/>
      <c r="G2" s="140"/>
    </row>
    <row r="3" spans="1:15" x14ac:dyDescent="0.2">
      <c r="B3" s="119" t="s">
        <v>1</v>
      </c>
      <c r="C3" s="120"/>
      <c r="D3" s="121"/>
      <c r="E3" s="124"/>
      <c r="F3" s="124"/>
      <c r="G3" s="125"/>
      <c r="I3" s="70" t="s">
        <v>0</v>
      </c>
      <c r="J3" s="118"/>
    </row>
    <row r="4" spans="1:15" ht="7.5" customHeight="1" x14ac:dyDescent="0.2">
      <c r="E4" s="36"/>
      <c r="F4" s="36"/>
      <c r="G4" s="36"/>
      <c r="H4" s="36"/>
      <c r="I4" s="36"/>
      <c r="J4" s="36"/>
      <c r="K4" s="18"/>
      <c r="L4" s="36"/>
      <c r="M4" s="35"/>
    </row>
    <row r="5" spans="1:15" x14ac:dyDescent="0.2">
      <c r="B5" s="13" t="s">
        <v>113</v>
      </c>
      <c r="E5" s="36"/>
      <c r="F5" s="36"/>
      <c r="G5" s="36"/>
      <c r="H5" s="36"/>
      <c r="I5" s="36"/>
      <c r="J5" s="36"/>
      <c r="K5" s="18"/>
      <c r="L5" s="36"/>
      <c r="M5" s="35"/>
    </row>
    <row r="6" spans="1:15" ht="12.75" customHeight="1" x14ac:dyDescent="0.2">
      <c r="B6" s="99" t="s">
        <v>74</v>
      </c>
      <c r="C6" s="104"/>
      <c r="D6" s="58" t="s">
        <v>112</v>
      </c>
      <c r="F6" s="171" t="s">
        <v>118</v>
      </c>
      <c r="G6" s="117"/>
      <c r="H6" s="117"/>
      <c r="I6" s="117"/>
      <c r="J6" s="117"/>
      <c r="K6" s="117"/>
      <c r="L6" s="117"/>
      <c r="M6" s="35"/>
    </row>
    <row r="7" spans="1:15" x14ac:dyDescent="0.2">
      <c r="B7" s="100" t="s">
        <v>70</v>
      </c>
      <c r="C7" s="104"/>
      <c r="D7" s="58" t="s">
        <v>111</v>
      </c>
      <c r="E7" s="101"/>
      <c r="F7" s="171" t="s">
        <v>119</v>
      </c>
      <c r="G7" s="117"/>
      <c r="H7" s="117"/>
      <c r="I7" s="117"/>
      <c r="J7" s="117"/>
      <c r="K7" s="117"/>
      <c r="L7" s="117"/>
      <c r="M7" s="35"/>
    </row>
    <row r="8" spans="1:15" ht="8.25" customHeight="1" x14ac:dyDescent="0.2">
      <c r="B8" s="37"/>
      <c r="C8" s="37"/>
      <c r="D8" s="37"/>
      <c r="E8" s="22"/>
      <c r="F8" s="22"/>
      <c r="G8" s="22"/>
      <c r="H8" s="22"/>
      <c r="I8" s="22"/>
      <c r="J8" s="22"/>
      <c r="K8" s="22"/>
    </row>
    <row r="9" spans="1:15" s="52" customFormat="1" ht="24.75" customHeight="1" x14ac:dyDescent="0.2">
      <c r="B9" s="20" t="s">
        <v>108</v>
      </c>
      <c r="C9" s="20" t="str">
        <f>J3 &amp;  " Fuel Usage"</f>
        <v xml:space="preserve"> Fuel Usage</v>
      </c>
      <c r="D9" s="20" t="s">
        <v>50</v>
      </c>
      <c r="E9" s="53" t="s">
        <v>46</v>
      </c>
      <c r="F9" s="20" t="s">
        <v>62</v>
      </c>
      <c r="G9" s="20" t="s">
        <v>6</v>
      </c>
      <c r="H9" s="20" t="s">
        <v>50</v>
      </c>
      <c r="I9" s="112" t="s">
        <v>52</v>
      </c>
      <c r="J9" s="129" t="s">
        <v>125</v>
      </c>
    </row>
    <row r="10" spans="1:15" ht="21.75" customHeight="1" x14ac:dyDescent="0.2">
      <c r="A10" s="68"/>
      <c r="B10" s="32"/>
      <c r="C10" s="105">
        <f>IF(IF(C7&gt;0,(C6*0.14-((C7*0.00105/0.95)-(C7*0.00105))),C6*0.14)&lt;0,0,(IF(C7&gt;0,(C6*0.14-((C7*0.00105/0.95)-(C7*0.00105))),C6*0.14)))</f>
        <v>0</v>
      </c>
      <c r="D10" s="128" t="s">
        <v>124</v>
      </c>
      <c r="E10" s="40" t="str">
        <f>IF(B10&gt;0,LOOKUP(B10,'Emission Factors'!A2:A4,'Emission Factors'!AS2:AS4)," ")</f>
        <v xml:space="preserve"> </v>
      </c>
      <c r="F10" s="71" t="s">
        <v>41</v>
      </c>
      <c r="G10" s="40" t="str">
        <f>IF(B10=0," ",IF(LOOKUP(B10,'Emission Factors'!A2:A4,'Emission Factors'!F2:F4)&gt;0,LOOKUP(B10,'Emission Factors'!A2:A4,'Emission Factors'!F2:F4)," "))</f>
        <v xml:space="preserve"> </v>
      </c>
      <c r="H10" s="130" t="str">
        <f>IF(B10=0," ",IF(LOOKUP(B10,'Emission Factors'!A2:A4,'Emission Factors'!F2:F4)&gt;0,LOOKUP($B$10,'Emission Factors'!$A$2:$A$5,'Emission Factors'!$E$2:$E$5)," "))</f>
        <v xml:space="preserve"> </v>
      </c>
      <c r="I10" s="111" t="str">
        <f>IF(B10=0," ",IF(LOOKUP(B10,'Emission Factors'!A2:A4,'Emission Factors'!F2:F4)&gt;0,LOOKUP($B$10,'Emission Factors'!$A$2:$A$4,'Emission Factors'!G2:G4)," "))</f>
        <v xml:space="preserve"> </v>
      </c>
      <c r="J10" s="133" t="str">
        <f>IF(B10=0," ",IF(LOOKUP(B10,'Emission Factors'!A2:A4,'Emission Factors'!F2:F4)&gt;0,LOOKUP($B$10,'Emission Factors'!$A$2:$A$4,'Emission Factors'!H2:H4)," "))</f>
        <v xml:space="preserve"> </v>
      </c>
      <c r="L10" s="16"/>
      <c r="M10" s="16"/>
      <c r="N10" s="12"/>
      <c r="O10" s="12"/>
    </row>
    <row r="11" spans="1:15" s="24" customFormat="1" x14ac:dyDescent="0.2">
      <c r="B11" s="51" t="str">
        <f>IF(B10="Diesel Fuel Combustion &gt; 600 bhp","% Sulfur in Fuel Oil:"," ")</f>
        <v xml:space="preserve"> </v>
      </c>
      <c r="C11" s="60"/>
      <c r="F11" s="71" t="s">
        <v>27</v>
      </c>
      <c r="G11" s="40" t="str">
        <f>IF(B10=0," ",IF(LOOKUP(B10,'Emission Factors'!A2:A4,'Emission Factors'!I2:I4)&gt;0,LOOKUP(B10,'Emission Factors'!A2:A4,'Emission Factors'!I2:I4)," "))</f>
        <v xml:space="preserve"> </v>
      </c>
      <c r="H11" s="130" t="str">
        <f>IF(B10=0," ",IF(LOOKUP(B10,'Emission Factors'!A2:A4,'Emission Factors'!I2:I4)&gt;0,LOOKUP($B$10,'Emission Factors'!$A$2:$A$4,'Emission Factors'!$E$2:$E$4)," "))</f>
        <v xml:space="preserve"> </v>
      </c>
      <c r="I11" s="111" t="str">
        <f>IF($B$10=0," ",IF(LOOKUP($B$10,'Emission Factors'!A2:A4,'Emission Factors'!$I$2:$I$4)&gt;0,LOOKUP($B$10,'Emission Factors'!$A$2:$A$4,'Emission Factors'!J2:J4)," "))</f>
        <v xml:space="preserve"> </v>
      </c>
      <c r="J11" s="134" t="str">
        <f>IF($B$10=0," ",IF(LOOKUP($B$10,'Emission Factors'!B2:B4,'Emission Factors'!$I$2:$I$4)&gt;0,LOOKUP($B$10,'Emission Factors'!$A$2:$A$4,'Emission Factors'!K2:K4)," "))</f>
        <v xml:space="preserve"> </v>
      </c>
      <c r="L11" s="25"/>
      <c r="M11" s="25"/>
    </row>
    <row r="12" spans="1:15" x14ac:dyDescent="0.2">
      <c r="A12" s="42" t="e">
        <f>LOOKUP(B10,'Emission Factors'!A2:A5, 'Emission Factors'!B2:B5)</f>
        <v>#N/A</v>
      </c>
      <c r="C12" s="41"/>
      <c r="D12" s="98"/>
      <c r="E12" s="41"/>
      <c r="F12" s="71" t="s">
        <v>17</v>
      </c>
      <c r="G12" s="40" t="str">
        <f>IF(B10=0," ",IF(LOOKUP(B10,'Emission Factors'!A2:A4,'Emission Factors'!L2:L4)&gt;0,LOOKUP(B10,'Emission Factors'!A2:A4,'Emission Factors'!L2:L4)," "))</f>
        <v xml:space="preserve"> </v>
      </c>
      <c r="H12" s="130" t="str">
        <f>IF(B10=0," ",IF(LOOKUP(B10,'Emission Factors'!A2:A4,'Emission Factors'!L2:L4)&gt;0,LOOKUP($B$10,'Emission Factors'!$A$2:$A$4,'Emission Factors'!$E$2:$E$4)," "))</f>
        <v xml:space="preserve"> </v>
      </c>
      <c r="I12" s="111" t="str">
        <f>IF($B$10=0," ",IF(LOOKUP($B$10,'Emission Factors'!$A$2:$A$4,'Emission Factors'!$L$2:$L$4)&gt;0,LOOKUP($B$10,'Emission Factors'!$A$2:$A$4,'Emission Factors'!M2:M4)," "))</f>
        <v xml:space="preserve"> </v>
      </c>
      <c r="J12" s="134" t="str">
        <f>IF($B$10=0," ",IF(LOOKUP($B$10,'Emission Factors'!$A$2:$A$4,'Emission Factors'!$L$2:$L$4)&gt;0,LOOKUP($B$10,'Emission Factors'!$A$2:$A$4,'Emission Factors'!N2:N4)," "))</f>
        <v xml:space="preserve"> </v>
      </c>
      <c r="L12" s="17"/>
      <c r="M12" s="16"/>
      <c r="N12" s="12"/>
      <c r="O12" s="12"/>
    </row>
    <row r="13" spans="1:15" s="22" customFormat="1" x14ac:dyDescent="0.2">
      <c r="A13" s="42" t="e">
        <f>LOOKUP(B10,'Emission Factors'!A2:A5, 'Emission Factors'!C2:C5)</f>
        <v>#N/A</v>
      </c>
      <c r="B13" s="170" t="s">
        <v>115</v>
      </c>
      <c r="E13" s="12"/>
      <c r="F13" s="71" t="s">
        <v>18</v>
      </c>
      <c r="G13" s="40" t="str">
        <f>IF(B10=0," ",IF(LOOKUP(B10,'Emission Factors'!A2:A4,'Emission Factors'!O2:O4)&gt;0,LOOKUP(B10,'Emission Factors'!A2:A4,'Emission Factors'!O2:O4)," "))</f>
        <v xml:space="preserve"> </v>
      </c>
      <c r="H13" s="130" t="str">
        <f>IF(B10=0," ",IF(LOOKUP(B10,'Emission Factors'!A2:A4,'Emission Factors'!O2:O4)&gt;0,LOOKUP($B$10,'Emission Factors'!$A$2:$A$4,'Emission Factors'!$E$2:$E$4)," "))</f>
        <v xml:space="preserve"> </v>
      </c>
      <c r="I13" s="111" t="str">
        <f>IF($B$10=0," ",IF(LOOKUP($B$10,'Emission Factors'!$A$2:$A$4,'Emission Factors'!$O$2:$O$4)&gt;0,LOOKUP($B$10,'Emission Factors'!$A$2:$A$4,'Emission Factors'!P2:P4)," "))</f>
        <v xml:space="preserve"> </v>
      </c>
      <c r="J13" s="134" t="str">
        <f>IF($B$10=0," ",IF(LOOKUP($B$10,'Emission Factors'!$A$2:$A$4,'Emission Factors'!$O$2:$O$4)&gt;0,LOOKUP($B$10,'Emission Factors'!$A$2:$A$4,'Emission Factors'!Q2:Q4)," "))</f>
        <v xml:space="preserve"> </v>
      </c>
      <c r="L13" s="21"/>
      <c r="M13" s="21"/>
    </row>
    <row r="14" spans="1:15" s="22" customFormat="1" x14ac:dyDescent="0.2">
      <c r="B14" s="12"/>
      <c r="E14" s="12"/>
      <c r="F14" s="71" t="s">
        <v>19</v>
      </c>
      <c r="G14" s="40" t="str">
        <f>IF(B10=0," ",IF(LOOKUP(B10,'Emission Factors'!A2:A4,'Emission Factors'!R2:R4)&gt;0,LOOKUP(B10,'Emission Factors'!A2:A4,'Emission Factors'!R2:R4)," "))</f>
        <v xml:space="preserve"> </v>
      </c>
      <c r="H14" s="130" t="str">
        <f>IF(B10=0," ",IF(LOOKUP(B10,'Emission Factors'!A2:A4,'Emission Factors'!R2:R4)&gt;0,LOOKUP($B$10,'Emission Factors'!$A$2:$A$4,'Emission Factors'!$E$2:$E$4)," "))</f>
        <v xml:space="preserve"> </v>
      </c>
      <c r="I14" s="132" t="str">
        <f>IF($B$10=0," ",IF(LOOKUP($B$10,'Emission Factors'!$A$2:$A$4,'Emission Factors'!$R$2:$R$4)&gt;0,LOOKUP($B$10,'Emission Factors'!$A$2:$A$4,'Emission Factors'!S2:S4)," "))</f>
        <v xml:space="preserve"> </v>
      </c>
      <c r="J14" s="134" t="str">
        <f>IF($B$10=0," ",IF(LOOKUP($B$10,'Emission Factors'!$A$2:$A$4,'Emission Factors'!$R$2:$R$4)&gt;0,LOOKUP($B$10,'Emission Factors'!$A$2:$A$4,'Emission Factors'!T2:T4)," "))</f>
        <v xml:space="preserve"> </v>
      </c>
      <c r="K14" s="21"/>
      <c r="L14" s="21"/>
    </row>
    <row r="15" spans="1:15" x14ac:dyDescent="0.2">
      <c r="A15" s="59"/>
      <c r="F15" s="71" t="s">
        <v>20</v>
      </c>
      <c r="G15" s="40" t="str">
        <f>IF(B10=0," ",IF(LOOKUP(B10,'Emission Factors'!A2:A4,'Emission Factors'!U2:U4)&gt;0,LOOKUP(B10,'Emission Factors'!A2:A4,'Emission Factors'!U2:U4)," "))</f>
        <v xml:space="preserve"> </v>
      </c>
      <c r="H15" s="130" t="str">
        <f>IF(B10=0," ",IF(LOOKUP(B10,'Emission Factors'!A2:A4,'Emission Factors'!U2:U4)&gt;0,LOOKUP($B$10,'Emission Factors'!$A$2:$A$4,'Emission Factors'!$E$2:$E$4)," "))</f>
        <v xml:space="preserve"> </v>
      </c>
      <c r="I15" s="111" t="str">
        <f>IF($B$10=0," ",IF(LOOKUP($B$10,'Emission Factors'!$A$2:$A$4,'Emission Factors'!$U$2:$U$4)&gt;0,LOOKUP($B$10,'Emission Factors'!$A$2:$A$4,'Emission Factors'!V2:V4)," "))</f>
        <v xml:space="preserve"> </v>
      </c>
      <c r="J15" s="134" t="str">
        <f>IF($B$10=0," ",IF(LOOKUP($B$10,'Emission Factors'!$A$2:$A$4,'Emission Factors'!$U$2:$U$4)&gt;0,LOOKUP($B$10,'Emission Factors'!$A$2:$A$4,'Emission Factors'!W2:W4)," "))</f>
        <v xml:space="preserve"> </v>
      </c>
      <c r="N15" s="12"/>
      <c r="O15" s="12"/>
    </row>
    <row r="16" spans="1:15" x14ac:dyDescent="0.2">
      <c r="A16" s="59"/>
      <c r="F16" s="71" t="s">
        <v>79</v>
      </c>
      <c r="G16" s="79" t="str">
        <f>IF(B10=0," ",IF(LOOKUP(B10,'Emission Factors'!A2:A4,'Emission Factors'!X2:X4)&gt;0,LOOKUP(B10,'Emission Factors'!A2:A4,'Emission Factors'!X2:X4)," "))</f>
        <v xml:space="preserve"> </v>
      </c>
      <c r="H16" s="130" t="str">
        <f>IF(B10=0," ",IF(LOOKUP(B10,'Emission Factors'!A2:A4,'Emission Factors'!X2:X4)&gt;0,LOOKUP($B$10,'Emission Factors'!$A$2:$A$4,'Emission Factors'!$E$2:$E$4)," "))</f>
        <v xml:space="preserve"> </v>
      </c>
      <c r="I16" s="111" t="str">
        <f>IF($B$10=0," ",IF(LOOKUP($B$10,'Emission Factors'!$A$2:$A$4,'Emission Factors'!$X$2:$X$4)&gt;0,LOOKUP($B$10,'Emission Factors'!$A$2:$A$4,'Emission Factors'!Y2:Y4)," "))</f>
        <v xml:space="preserve"> </v>
      </c>
      <c r="J16" s="134" t="str">
        <f>IF($B$10=0," ",IF(LOOKUP($B$10,'Emission Factors'!$A$2:$A$4,'Emission Factors'!$X$2:$X$4)&gt;0,LOOKUP($B$10,'Emission Factors'!$A$2:$A$4,'Emission Factors'!Z2:Z4)," "))</f>
        <v xml:space="preserve"> </v>
      </c>
      <c r="N16" s="12"/>
      <c r="O16" s="12"/>
    </row>
    <row r="17" spans="1:15" ht="14.25" customHeight="1" x14ac:dyDescent="0.2">
      <c r="A17" s="59"/>
      <c r="F17" s="91" t="s">
        <v>76</v>
      </c>
      <c r="G17" s="92" t="str">
        <f>IF(B10=0," ",IF(LOOKUP(B10,'Emission Factors'!A2:A4,'Emission Factors'!AA2:AA4)&gt;0,LOOKUP(B10,'Emission Factors'!A2:A4,'Emission Factors'!AA2:AA4)," "))</f>
        <v xml:space="preserve"> </v>
      </c>
      <c r="H17" s="131" t="str">
        <f>IF(B10=0," ",IF(LOOKUP(B10,'Emission Factors'!A2:A4,'Emission Factors'!AA2:AA4)&gt;0,LOOKUP($B$10,'Emission Factors'!$A$2:$A$4,'Emission Factors'!$E$2:$E$4)," "))</f>
        <v xml:space="preserve"> </v>
      </c>
      <c r="I17" s="109" t="str">
        <f>IF($B$10=0," ",IF(LOOKUP($B$10,'Emission Factors'!$A$2:$A$4,'Emission Factors'!$AA$2:$AA$4)&gt;0,LOOKUP($B$10,'Emission Factors'!$A$2:$A$4,'Emission Factors'!AB2:AB4)," "))</f>
        <v xml:space="preserve"> </v>
      </c>
      <c r="J17" s="135" t="str">
        <f>IF($B$10=0," ",IF(LOOKUP($B$10,'Emission Factors'!$A$2:$A$4,'Emission Factors'!$AA$2:$AA$4)&gt;0,LOOKUP($B$10,'Emission Factors'!$A$2:$A$4,'Emission Factors'!AC2:AC4)," "))</f>
        <v xml:space="preserve"> </v>
      </c>
      <c r="N17" s="12"/>
      <c r="O17" s="12"/>
    </row>
    <row r="18" spans="1:15" x14ac:dyDescent="0.2">
      <c r="A18" s="59"/>
      <c r="B18" s="39"/>
      <c r="F18" s="72" t="s">
        <v>80</v>
      </c>
      <c r="G18" s="40" t="str">
        <f>IF(B10=0," ",IF(LOOKUP(B10,'Emission Factors'!A2:A4,'Emission Factors'!AD2:AD4)&gt;0,LOOKUP(B10,'Emission Factors'!A2:A4,'Emission Factors'!AD2:AD4)," "))</f>
        <v xml:space="preserve"> </v>
      </c>
      <c r="H18" s="130" t="str">
        <f>IF(B10=0," ",IF(LOOKUP(B10,'Emission Factors'!A2:A4,'Emission Factors'!AD2:AD4)&gt;0,LOOKUP($B$10,'Emission Factors'!$A$2:$A$4,'Emission Factors'!$E$2:$E$4)," "))</f>
        <v xml:space="preserve"> </v>
      </c>
      <c r="I18" s="111" t="str">
        <f>IF($B$10=0," ",IF(LOOKUP($B$10,'Emission Factors'!$A$2:$A$4,'Emission Factors'!$AD$2:$AD$4)&gt;0,LOOKUP($B$10,'Emission Factors'!$A$2:$A$4,'Emission Factors'!AB2:AB4)," "))</f>
        <v xml:space="preserve"> </v>
      </c>
      <c r="J18" s="134" t="str">
        <f>IF($B$10=0," ",IF(LOOKUP($B$10,'Emission Factors'!$A$2:$A$4,'Emission Factors'!$AD$2:$AD$4)&gt;0,LOOKUP($B$10,'Emission Factors'!$A$2:$A$4,'Emission Factors'!AC2:AC4)," "))</f>
        <v xml:space="preserve"> </v>
      </c>
      <c r="L18" s="16"/>
      <c r="M18" s="16"/>
      <c r="N18" s="12"/>
      <c r="O18" s="12"/>
    </row>
    <row r="19" spans="1:15" x14ac:dyDescent="0.2">
      <c r="A19" s="59"/>
      <c r="B19" s="39"/>
      <c r="F19" s="72" t="s">
        <v>100</v>
      </c>
      <c r="G19" s="40" t="str">
        <f>IF(B10=0," ",IF(LOOKUP(B10,'Emission Factors'!A2:A4,'Emission Factors'!AG2:AG4)&gt;0,LOOKUP($B$10,'Emission Factors'!$A$2:$A$4,'Emission Factors'!AG2:AG4)," "))</f>
        <v xml:space="preserve"> </v>
      </c>
      <c r="H19" s="130" t="str">
        <f>IF(B10=0," ",IF(LOOKUP(B10,'Emission Factors'!A2:A4,'Emission Factors'!AG2:AG4)&gt;0,LOOKUP($B$10,'Emission Factors'!$A$2:$A$4,'Emission Factors'!$E$2:$E$4)," "))</f>
        <v xml:space="preserve"> </v>
      </c>
      <c r="I19" s="111" t="str">
        <f>IF($B$10=0," ",IF(LOOKUP($B$10,'Emission Factors'!$A$2:$A$4,'Emission Factors'!$AG$2:$AG$4)&gt;0,LOOKUP($B$10,'Emission Factors'!$A$2:$A$4,'Emission Factors'!AH2:AH4)," "))</f>
        <v xml:space="preserve"> </v>
      </c>
      <c r="J19" s="134" t="str">
        <f>IF($B$10=0," ",IF(LOOKUP($B$10,'Emission Factors'!$A$2:$A$4,'Emission Factors'!$AG$2:$AG$4)&gt;0,LOOKUP($B$10,'Emission Factors'!$A$2:$A$4,'Emission Factors'!AI2:AI4)," "))</f>
        <v xml:space="preserve"> </v>
      </c>
      <c r="L19" s="16"/>
      <c r="M19" s="16"/>
      <c r="N19" s="12"/>
      <c r="O19" s="12"/>
    </row>
    <row r="20" spans="1:15" x14ac:dyDescent="0.2">
      <c r="A20" s="59"/>
      <c r="B20" s="39"/>
      <c r="F20" s="72" t="s">
        <v>102</v>
      </c>
      <c r="G20" s="40" t="str">
        <f>IF(B10=0," ",IF(LOOKUP(B10,'Emission Factors'!A2:A4,'Emission Factors'!AJ2:AJ4)&gt;0,LOOKUP($B$10,'Emission Factors'!$A$2:$A$4,'Emission Factors'!AJ2:AJ4)," "))</f>
        <v xml:space="preserve"> </v>
      </c>
      <c r="H20" s="130" t="str">
        <f>IF(B10=0," ",IF(LOOKUP(B10,'Emission Factors'!A2:A4,'Emission Factors'!AJ2:AJ4)&gt;0,LOOKUP($B$10,'Emission Factors'!$A$2:$A$4,'Emission Factors'!$E$2:$E$4)," "))</f>
        <v xml:space="preserve"> </v>
      </c>
      <c r="I20" s="111" t="str">
        <f>IF($B$10=0," ",IF(LOOKUP($B$10,'Emission Factors'!$A$2:$A$4,'Emission Factors'!$AJ$2:$AJ$4)&gt;0,LOOKUP($B$10,'Emission Factors'!$A$2:$A$4,'Emission Factors'!AK2:AK4)," "))</f>
        <v xml:space="preserve"> </v>
      </c>
      <c r="J20" s="134" t="str">
        <f>IF($B$10=0," ",IF(LOOKUP($B$10,'Emission Factors'!$A$2:$A$4,'Emission Factors'!$AJ$2:$AJ$4)&gt;0,LOOKUP($B$10,'Emission Factors'!$A$2:$A$4,'Emission Factors'!AL2:AL4)," "))</f>
        <v xml:space="preserve"> </v>
      </c>
      <c r="L20" s="16"/>
      <c r="M20" s="16"/>
      <c r="N20" s="12"/>
      <c r="O20" s="12"/>
    </row>
    <row r="21" spans="1:15" x14ac:dyDescent="0.2">
      <c r="A21" s="59"/>
      <c r="B21" s="39"/>
      <c r="F21" s="72" t="s">
        <v>105</v>
      </c>
      <c r="G21" s="40" t="str">
        <f>IF(B10=0," ",IF(LOOKUP(B10,'Emission Factors'!A2:A4,'Emission Factors'!AM2:AM4)&gt;0,LOOKUP($B$10,'Emission Factors'!$A$2:$A$4,'Emission Factors'!AM2:AM4)," "))</f>
        <v xml:space="preserve"> </v>
      </c>
      <c r="H21" s="130" t="str">
        <f>IF(B10=0," ",IF(LOOKUP(B10,'Emission Factors'!A2:A4,'Emission Factors'!AM2:AM4)&gt;0,LOOKUP($B$10,'Emission Factors'!$A$2:$A$4,'Emission Factors'!$E$2:$E$4)," "))</f>
        <v xml:space="preserve"> </v>
      </c>
      <c r="I21" s="111" t="str">
        <f>IF($B$10=0," ",IF(LOOKUP($B$10,'Emission Factors'!$A$2:$A$4,'Emission Factors'!$AM$2:$AM$4)&gt;0,LOOKUP($B$10,'Emission Factors'!$A$2:$A$4,'Emission Factors'!AN2:AN4)," "))</f>
        <v xml:space="preserve"> </v>
      </c>
      <c r="J21" s="134" t="str">
        <f>IF($B$10=0," ",IF(LOOKUP($B$10,'Emission Factors'!$A$2:$A$4,'Emission Factors'!$AM$2:$AM$4)&gt;0,LOOKUP($B$10,'Emission Factors'!$A$2:$A$4,'Emission Factors'!AO2:AO4)," "))</f>
        <v xml:space="preserve"> </v>
      </c>
      <c r="L21" s="16"/>
      <c r="M21" s="16"/>
      <c r="N21" s="12"/>
      <c r="O21" s="12"/>
    </row>
    <row r="22" spans="1:15" x14ac:dyDescent="0.2">
      <c r="A22" s="59"/>
      <c r="F22" s="72" t="s">
        <v>106</v>
      </c>
      <c r="G22" s="40" t="str">
        <f>IF(B10=0," ",IF(LOOKUP(B10,'Emission Factors'!A2:A4,'Emission Factors'!AP2:AP4)&gt;0,LOOKUP($B$10,'Emission Factors'!$A$2:$A$4,'Emission Factors'!AP2:AP4)," "))</f>
        <v xml:space="preserve"> </v>
      </c>
      <c r="H22" s="130" t="str">
        <f>IF(B10=0," ",IF(LOOKUP(B10,'Emission Factors'!A2:A4,'Emission Factors'!AP2:AP4)&gt;0,LOOKUP($B$10,'Emission Factors'!$A$2:$A$4,'Emission Factors'!$E$2:$E$4)," "))</f>
        <v xml:space="preserve"> </v>
      </c>
      <c r="I22" s="111" t="str">
        <f>IF($B$10=0," ",IF(LOOKUP($B$10,'Emission Factors'!$A$2:$A$4,'Emission Factors'!$AP$2:$AP$4)&gt;0,LOOKUP($B$10,'Emission Factors'!$A$2:$A$4,'Emission Factors'!AQ2:AQ4)," "))</f>
        <v xml:space="preserve"> </v>
      </c>
      <c r="J22" s="134" t="str">
        <f>IF($B$10=0," ",IF(LOOKUP($B$10,'Emission Factors'!$A$2:$A$4,'Emission Factors'!$AP$2:$AP$4)&gt;0,LOOKUP($B$10,'Emission Factors'!$A$2:$A$4,'Emission Factors'!AR2:AR4)," "))</f>
        <v xml:space="preserve"> </v>
      </c>
      <c r="L22" s="16"/>
      <c r="M22" s="16"/>
      <c r="N22" s="12"/>
      <c r="O22" s="12"/>
    </row>
    <row r="23" spans="1:15" ht="10.5" customHeight="1" x14ac:dyDescent="0.2">
      <c r="A23" s="59"/>
      <c r="B23" s="39"/>
      <c r="F23" s="86"/>
      <c r="G23" s="87"/>
      <c r="H23" s="87"/>
      <c r="I23" s="88"/>
      <c r="L23" s="16"/>
      <c r="M23" s="16"/>
      <c r="N23" s="12"/>
      <c r="O23" s="12"/>
    </row>
    <row r="24" spans="1:15" ht="24.75" customHeight="1" x14ac:dyDescent="0.2">
      <c r="A24" s="59"/>
      <c r="B24" s="20" t="s">
        <v>47</v>
      </c>
      <c r="C24" s="20" t="str">
        <f>J3 &amp;  " Fuel Usage"</f>
        <v xml:space="preserve"> Fuel Usage</v>
      </c>
      <c r="D24" s="20" t="s">
        <v>50</v>
      </c>
      <c r="E24" s="53" t="s">
        <v>46</v>
      </c>
      <c r="F24" s="20" t="s">
        <v>62</v>
      </c>
      <c r="G24" s="20" t="s">
        <v>6</v>
      </c>
      <c r="H24" s="20" t="s">
        <v>50</v>
      </c>
      <c r="I24" s="112" t="s">
        <v>52</v>
      </c>
      <c r="J24" s="129" t="s">
        <v>125</v>
      </c>
      <c r="L24" s="16"/>
      <c r="M24" s="16"/>
      <c r="N24" s="12"/>
      <c r="O24" s="12"/>
    </row>
    <row r="25" spans="1:15" ht="21" customHeight="1" x14ac:dyDescent="0.2">
      <c r="A25" s="59" t="s">
        <v>81</v>
      </c>
      <c r="B25" s="58" t="s">
        <v>83</v>
      </c>
      <c r="C25" s="105">
        <f>IF(C7&gt;0,C7*0.00105/0.95,0)</f>
        <v>0</v>
      </c>
      <c r="D25" s="128" t="s">
        <v>124</v>
      </c>
      <c r="E25" s="40">
        <f>IF(B25&gt;0,LOOKUP(B25,'Emission Factors'!A2:A4,'Emission Factors'!AS2:AS4)," ")</f>
        <v>20200402</v>
      </c>
      <c r="F25" s="71" t="s">
        <v>41</v>
      </c>
      <c r="G25" s="40">
        <f>IF(B25=0," ",IF(LOOKUP(B25,'Emission Factors'!A2:A4,'Emission Factors'!F2:F4)&gt;0,LOOKUP(B25,'Emission Factors'!A2:A4,'Emission Factors'!F2:F4)," "))</f>
        <v>5.5599999999999997E-2</v>
      </c>
      <c r="H25" s="130" t="str">
        <f>IF($B$25=0," ",IF(LOOKUP($B$25,'Emission Factors'!$A$2:$A$4,'Emission Factors'!$F$2:$F$4)&gt;0,LOOKUP($B$25,'Emission Factors'!$A$2:$A$4,'Emission Factors'!$E$2:$E$4)," "))</f>
        <v>E6BTU-Million BTUS</v>
      </c>
      <c r="I25" s="111" t="str">
        <f>IF(B25=0," ",IF(LOOKUP(B25,'Emission Factors'!A2:A4,'Emission Factors'!F2:F4)&gt;0,LOOKUP($B$25,'Emission Factors'!$A$2:$A$4,'Emission Factors'!G2:G4)," "))</f>
        <v>WebFIRE</v>
      </c>
      <c r="J25" s="136" t="str">
        <f>IF(B25=0," ",IF(LOOKUP(B25,'Emission Factors'!A2:A4,'Emission Factors'!F2:F4)&gt;0,LOOKUP($B$25,'Emission Factors'!$A$2:$A$4,'Emission Factors'!H2:H4)," "))</f>
        <v>28-USEPA EF (pre-control)</v>
      </c>
      <c r="L25" s="16"/>
      <c r="M25" s="16"/>
      <c r="N25" s="12"/>
      <c r="O25" s="12"/>
    </row>
    <row r="26" spans="1:15" x14ac:dyDescent="0.2">
      <c r="A26" s="59" t="s">
        <v>116</v>
      </c>
      <c r="B26" s="51" t="s">
        <v>85</v>
      </c>
      <c r="C26" s="95"/>
      <c r="E26" s="24"/>
      <c r="F26" s="89" t="s">
        <v>27</v>
      </c>
      <c r="G26" s="90">
        <f>IF(B25=0," ",IF(LOOKUP(B25,'Emission Factors'!A2:A4,'Emission Factors'!I2:I4)&gt;0,LOOKUP(B25,'Emission Factors'!A2:A4,'Emission Factors'!I2:I4)," "))</f>
        <v>5.7299999999999997E-2</v>
      </c>
      <c r="H26" s="130" t="str">
        <f>IF($B$25=0," ",IF(LOOKUP($B$25,'Emission Factors'!$A$2:$A$4,'Emission Factors'!$F$2:$F$4)&gt;0,LOOKUP($B$25,'Emission Factors'!$A$2:$A$4,'Emission Factors'!$E$2:$E$4)," "))</f>
        <v>E6BTU-Million BTUS</v>
      </c>
      <c r="I26" s="111" t="str">
        <f>IF(B25=0," ",IF(LOOKUP(B25,'Emission Factors'!A2:A4,'Emission Factors'!I2:I4)&gt;0,LOOKUP($B$25,'Emission Factors'!$A$2:$A$4,'Emission Factors'!J2:J4)," "))</f>
        <v>WebFIRE</v>
      </c>
      <c r="J26" s="136" t="str">
        <f>IF($B$25=0," ",IF(LOOKUP($B$25,'Emission Factors'!B2:B4,'Emission Factors'!$I$2:$I$4)&gt;0,LOOKUP($B$25,'Emission Factors'!$A$2:$A$4,'Emission Factors'!K2:K4)," "))</f>
        <v>28-USEPA EF (pre-control)</v>
      </c>
      <c r="L26" s="16"/>
      <c r="M26" s="16"/>
      <c r="N26" s="12"/>
      <c r="O26" s="12"/>
    </row>
    <row r="27" spans="1:15" x14ac:dyDescent="0.2">
      <c r="A27" s="59" t="s">
        <v>117</v>
      </c>
      <c r="B27" s="57"/>
      <c r="C27" s="41"/>
      <c r="D27" s="98"/>
      <c r="E27" s="41"/>
      <c r="F27" s="71" t="s">
        <v>17</v>
      </c>
      <c r="G27" s="40">
        <f>IF(B25=0," ",IF(LOOKUP(B25,'Emission Factors'!A2:A4,'Emission Factors'!L2:L4)&gt;0,LOOKUP(B25,'Emission Factors'!A2:A4,'Emission Factors'!L2:L4)," "))</f>
        <v>0.05</v>
      </c>
      <c r="H27" s="130" t="str">
        <f>IF($B$25=0," ",IF(LOOKUP($B$25,'Emission Factors'!$A$2:$A$4,'Emission Factors'!$F$2:$F$4)&gt;0,LOOKUP($B$25,'Emission Factors'!$A$2:$A$4,'Emission Factors'!$E$2:$E$4)," "))</f>
        <v>E6BTU-Million BTUS</v>
      </c>
      <c r="I27" s="111" t="str">
        <f>IF(B25=0," ",IF(LOOKUP(B25,'Emission Factors'!A2:A4,'Emission Factors'!L2:L4)&gt;0,LOOKUP($B$25,'Emission Factors'!$A$2:$A$4,'Emission Factors'!M2:M4)," "))</f>
        <v>AP-42 Table 3.4-1</v>
      </c>
      <c r="J27" s="136" t="str">
        <f>IF($B$25=0," ",IF(LOOKUP($B$25,'Emission Factors'!$A$2:$A$4,'Emission Factors'!$L$2:$L$4)&gt;0,LOOKUP($B$25,'Emission Factors'!$A$2:$A$4,'Emission Factors'!N2:N4)," "))</f>
        <v>28-USEPA EF (pre-control)</v>
      </c>
      <c r="L27" s="16"/>
      <c r="M27" s="16"/>
      <c r="N27" s="12"/>
      <c r="O27" s="12"/>
    </row>
    <row r="28" spans="1:15" x14ac:dyDescent="0.2">
      <c r="B28" s="106"/>
      <c r="F28" s="71" t="s">
        <v>18</v>
      </c>
      <c r="G28" s="40">
        <f>IF(B25=0," ",IF(LOOKUP(B25,'Emission Factors'!A2:A4,'Emission Factors'!O2:O4)&gt;0,LOOKUP(B25,'Emission Factors'!A2:A4,'Emission Factors'!O2:O4)," "))</f>
        <v>2.7</v>
      </c>
      <c r="H28" s="130" t="str">
        <f>IF($B$25=0," ",IF(LOOKUP($B$25,'Emission Factors'!$A$2:$A$4,'Emission Factors'!$F$2:$F$4)&gt;0,LOOKUP($B$25,'Emission Factors'!$A$2:$A$4,'Emission Factors'!$E$2:$E$4)," "))</f>
        <v>E6BTU-Million BTUS</v>
      </c>
      <c r="I28" s="111" t="str">
        <f>IF(B25=0," ",IF(LOOKUP(B25,'Emission Factors'!A2:A4,'Emission Factors'!O2:O4)&gt;0,LOOKUP($B$25,'Emission Factors'!$A$2:$A$4,'Emission Factors'!P2:P4)," "))</f>
        <v>AP-42 Table 3.4-1</v>
      </c>
      <c r="J28" s="136" t="str">
        <f>IF($B$25=0," ",IF(LOOKUP($B$25,'Emission Factors'!$A$2:$A$4,'Emission Factors'!$O$2:$O$4)&gt;0,LOOKUP($B$25,'Emission Factors'!$A$2:$A$4,'Emission Factors'!Q2:Q4)," "))</f>
        <v>28-USEPA EF (pre-control)</v>
      </c>
      <c r="L28" s="16"/>
      <c r="M28" s="16"/>
      <c r="N28" s="12"/>
      <c r="O28" s="12"/>
    </row>
    <row r="29" spans="1:15" x14ac:dyDescent="0.2">
      <c r="A29" s="93" t="s">
        <v>82</v>
      </c>
      <c r="F29" s="71" t="s">
        <v>19</v>
      </c>
      <c r="G29" s="40">
        <f>IF(B25=0," ",IF(LOOKUP(B25,'Emission Factors'!A2:A4,'Emission Factors'!R2:R4)&gt;0,LOOKUP(B25,'Emission Factors'!A2:A4,'Emission Factors'!R2:R4)," "))</f>
        <v>0.2</v>
      </c>
      <c r="H29" s="130" t="str">
        <f>IF($B$25=0," ",IF(LOOKUP($B$25,'Emission Factors'!$A$2:$A$4,'Emission Factors'!$F$2:$F$4)&gt;0,LOOKUP($B$25,'Emission Factors'!$A$2:$A$4,'Emission Factors'!$E$2:$E$4)," "))</f>
        <v>E6BTU-Million BTUS</v>
      </c>
      <c r="I29" s="111" t="str">
        <f>IF(B25=0," ",IF(LOOKUP(B25,'Emission Factors'!A2:A4,'Emission Factors'!R2:R4)&gt;0,LOOKUP($B$25,'Emission Factors'!$A$2:$A$4,'Emission Factors'!S2:S4)," "))</f>
        <v>AP-42 Table 3.4-1</v>
      </c>
      <c r="J29" s="136" t="str">
        <f>IF($B$25=0," ",IF(LOOKUP($B$25,'Emission Factors'!$A$2:$A$4,'Emission Factors'!$R$2:$R$4)&gt;0,LOOKUP($B$25,'Emission Factors'!$A$2:$A$4,'Emission Factors'!T2:T4)," "))</f>
        <v>28-USEPA EF (pre-control)</v>
      </c>
      <c r="L29" s="16"/>
      <c r="M29" s="16"/>
      <c r="N29" s="12"/>
      <c r="O29" s="12"/>
    </row>
    <row r="30" spans="1:15" x14ac:dyDescent="0.2">
      <c r="F30" s="71" t="s">
        <v>20</v>
      </c>
      <c r="G30" s="40">
        <f>IF(B25=0," ",IF(LOOKUP(B25,'Emission Factors'!A2:A4,'Emission Factors'!U2:U4)&gt;0,LOOKUP(B25,'Emission Factors'!A2:A4,'Emission Factors'!U2:U4)," "))</f>
        <v>1.1599999999999999</v>
      </c>
      <c r="H30" s="130" t="str">
        <f>IF($B$25=0," ",IF(LOOKUP($B$25,'Emission Factors'!$A$2:$A$4,'Emission Factors'!$F$2:$F$4)&gt;0,LOOKUP($B$25,'Emission Factors'!$A$2:$A$4,'Emission Factors'!$E$2:$E$4)," "))</f>
        <v>E6BTU-Million BTUS</v>
      </c>
      <c r="I30" s="111" t="str">
        <f>IF(B25=0," ",IF(LOOKUP(B25,'Emission Factors'!A2:A4,'Emission Factors'!U2:U4)&gt;0,LOOKUP($B$25,'Emission Factors'!$A$2:$A$4,'Emission Factors'!V2:V4)," "))</f>
        <v>AP-42 Table 3.4-1</v>
      </c>
      <c r="J30" s="136" t="str">
        <f>IF($B$25=0," ",IF(LOOKUP($B$25,'Emission Factors'!$A$2:$A$4,'Emission Factors'!$U$2:$U$4)&gt;0,LOOKUP($B$25,'Emission Factors'!$A$2:$A$4,'Emission Factors'!W2:W4)," "))</f>
        <v>28-USEPA EF (pre-control)</v>
      </c>
      <c r="L30" s="16"/>
      <c r="M30" s="16"/>
      <c r="N30" s="12"/>
      <c r="O30" s="12"/>
    </row>
    <row r="31" spans="1:15" x14ac:dyDescent="0.2">
      <c r="A31" s="59"/>
      <c r="F31" s="71" t="s">
        <v>79</v>
      </c>
      <c r="G31" s="79">
        <f>IF(B25=0," ",IF(LOOKUP(B25,'Emission Factors'!A2:A4,'Emission Factors'!X2:X4)&gt;0,LOOKUP(B25,'Emission Factors'!A2:A4,'Emission Factors'!X2:X4)," "))</f>
        <v>4.45E-3</v>
      </c>
      <c r="H31" s="130" t="str">
        <f>IF($B$25=0," ",IF(LOOKUP($B$25,'Emission Factors'!$A$2:$A$4,'Emission Factors'!$F$2:$F$4)&gt;0,LOOKUP($B$25,'Emission Factors'!$A$2:$A$4,'Emission Factors'!$E$2:$E$4)," "))</f>
        <v>E6BTU-Million BTUS</v>
      </c>
      <c r="I31" s="111" t="str">
        <f>IF(B25=0," ",IF(LOOKUP(B25,'Emission Factors'!A2:A4,'Emission Factors'!X2:X4)&gt;0,LOOKUP($B$25,'Emission Factors'!$A$2:$A$4,'Emission Factors'!Y2:Y4)," "))</f>
        <v>WebFIRE</v>
      </c>
      <c r="J31" s="136" t="str">
        <f>IF($B$25=0," ",IF(LOOKUP($B$25,'Emission Factors'!$A$2:$A$4,'Emission Factors'!$X$2:$X$4)&gt;0,LOOKUP($B$25,'Emission Factors'!$A$2:$A$4,'Emission Factors'!Z2:Z4)," "))</f>
        <v>28-USEPA EF (pre-control)</v>
      </c>
      <c r="L31" s="16"/>
      <c r="M31" s="16"/>
      <c r="N31" s="12"/>
      <c r="O31" s="12"/>
    </row>
    <row r="32" spans="1:15" x14ac:dyDescent="0.2">
      <c r="A32" s="59"/>
      <c r="F32" s="71" t="s">
        <v>76</v>
      </c>
      <c r="G32" s="78">
        <f>IF(B25=0," ",IF(LOOKUP(B25,'Emission Factors'!A2:A4,'Emission Factors'!AA2:AA4)&gt;0,LOOKUP(B25,'Emission Factors'!A2:A4,'Emission Factors'!AA2:AA4)," "))</f>
        <v>5.4000000000000003E-3</v>
      </c>
      <c r="H32" s="130" t="str">
        <f>IF($B$25=0," ",IF(LOOKUP($B$25,'Emission Factors'!$A$2:$A$4,'Emission Factors'!$F$2:$F$4)&gt;0,LOOKUP($B$25,'Emission Factors'!$A$2:$A$4,'Emission Factors'!$E$2:$E$4)," "))</f>
        <v>E6BTU-Million BTUS</v>
      </c>
      <c r="I32" s="111" t="str">
        <f>IF(B25=0," ",IF(LOOKUP(B25,'Emission Factors'!A2:A4,'Emission Factors'!AA2:AA4)&gt;0,LOOKUP($B$25,'Emission Factors'!$A$2:$A$4,'Emission Factors'!AB2:AB4)," "))</f>
        <v>WebFIRE</v>
      </c>
      <c r="J32" s="136" t="str">
        <f>IF($B$25=0," ",IF(LOOKUP($B$25,'Emission Factors'!$A$2:$A$4,'Emission Factors'!$AA$2:$AA$4)&gt;0,LOOKUP($B$25,'Emission Factors'!$A$2:$A$4,'Emission Factors'!AC2:AC4)," "))</f>
        <v>28-USEPA EF (pre-control)</v>
      </c>
      <c r="L32" s="16"/>
      <c r="M32" s="16"/>
      <c r="N32" s="12"/>
      <c r="O32" s="12"/>
    </row>
    <row r="33" spans="1:15" x14ac:dyDescent="0.2">
      <c r="A33" s="59"/>
      <c r="B33" s="39"/>
      <c r="F33" s="72" t="s">
        <v>80</v>
      </c>
      <c r="G33" s="40">
        <f>IF(B25=0," ",IF(LOOKUP(B25,'Emission Factors'!A2:A4,'Emission Factors'!AD2:AD4)&gt;0,LOOKUP(B25,'Emission Factors'!A2:A4,'Emission Factors'!AD2:AD4)," "))</f>
        <v>5.2300000000000003E-3</v>
      </c>
      <c r="H33" s="130" t="str">
        <f>IF($B$25=0," ",IF(LOOKUP($B$25,'Emission Factors'!$A$2:$A$4,'Emission Factors'!$F$2:$F$4)&gt;0,LOOKUP($B$25,'Emission Factors'!$A$2:$A$4,'Emission Factors'!$E$2:$E$4)," "))</f>
        <v>E6BTU-Million BTUS</v>
      </c>
      <c r="I33" s="111" t="str">
        <f>IF(B25=0," ",IF(LOOKUP(B25,'Emission Factors'!A2:A4,'Emission Factors'!AD2:AD4)&gt;0,LOOKUP($B$25,'Emission Factors'!$A$2:$A$4,'Emission Factors'!AE2:AE4)," "))</f>
        <v>WebFIRE</v>
      </c>
      <c r="J33" s="136" t="str">
        <f>IF($B$25=0," ",IF(LOOKUP($B$25,'Emission Factors'!$A$2:$A$4,'Emission Factors'!$AD$2:$AD$4)&gt;0,LOOKUP($B$25,'Emission Factors'!$A$2:$A$4,'Emission Factors'!AC2:AC4)," "))</f>
        <v>28-USEPA EF (pre-control)</v>
      </c>
      <c r="L33" s="16"/>
      <c r="M33" s="16"/>
      <c r="N33" s="12"/>
      <c r="O33" s="12"/>
    </row>
    <row r="34" spans="1:15" x14ac:dyDescent="0.2">
      <c r="A34" s="59"/>
      <c r="B34" s="39"/>
      <c r="F34" s="72" t="s">
        <v>100</v>
      </c>
      <c r="G34" s="40">
        <f>IF(B25=0," ",IF(LOOKUP(B25,'Emission Factors'!A2:A4,'Emission Factors'!AG2:AG4)&gt;0,LOOKUP(B25,'Emission Factors'!A2:A4,'Emission Factors'!AG2:AG4)," "))</f>
        <v>1.4E-3</v>
      </c>
      <c r="H34" s="130" t="str">
        <f>IF($B$25=0," ",IF(LOOKUP($B$25,'Emission Factors'!$A$2:$A$4,'Emission Factors'!$F$2:$F$4)&gt;0,LOOKUP($B$25,'Emission Factors'!$A$2:$A$4,'Emission Factors'!$E$2:$E$4)," "))</f>
        <v>E6BTU-Million BTUS</v>
      </c>
      <c r="I34" s="111" t="str">
        <f>IF(B25=0," ",IF(LOOKUP(B25,'Emission Factors'!A2:A4,'Emission Factors'!AG2:AG4)&gt;0,LOOKUP(B25,'Emission Factors'!A2:A4,'Emission Factors'!AH2:AH4)," "))</f>
        <v>WebFIRE</v>
      </c>
      <c r="J34" s="136" t="str">
        <f>IF($B$25=0," ",IF(LOOKUP($B$25,'Emission Factors'!$A$2:$A$4,'Emission Factors'!$AG$2:$AG$4)&gt;0,LOOKUP($B$25,'Emission Factors'!$A$2:$A$4,'Emission Factors'!AI2:AI4)," "))</f>
        <v>28-USEPA EF (pre-control)</v>
      </c>
      <c r="L34" s="16"/>
      <c r="M34" s="16"/>
      <c r="N34" s="12"/>
      <c r="O34" s="12"/>
    </row>
    <row r="35" spans="1:15" x14ac:dyDescent="0.2">
      <c r="A35" s="59"/>
      <c r="B35" s="39"/>
      <c r="F35" s="72" t="s">
        <v>102</v>
      </c>
      <c r="G35" s="40">
        <f>IF(B25=0," ",IF(LOOKUP(B25,'Emission Factors'!A2:A4,'Emission Factors'!AJ2:AJ4)&gt;0,LOOKUP(B25,'Emission Factors'!A2:A4,'Emission Factors'!AJ2:AJ4)," "))</f>
        <v>1.2999999999999999E-3</v>
      </c>
      <c r="H35" s="130" t="str">
        <f>IF($B$25=0," ",IF(LOOKUP($B$25,'Emission Factors'!$A$2:$A$4,'Emission Factors'!$F$2:$F$4)&gt;0,LOOKUP($B$25,'Emission Factors'!$A$2:$A$4,'Emission Factors'!$E$2:$E$4)," "))</f>
        <v>E6BTU-Million BTUS</v>
      </c>
      <c r="I35" s="111" t="str">
        <f>IF(B25=0," ",IF(LOOKUP(B25,'Emission Factors'!A2:A4,'Emission Factors'!AJ2:AJ4)&gt;0,LOOKUP(B25,'Emission Factors'!A2:A4,'Emission Factors'!AK2:AK4)," "))</f>
        <v>WebFIRE</v>
      </c>
      <c r="J35" s="136" t="str">
        <f>IF($B$25=0," ",IF(LOOKUP($B$25,'Emission Factors'!$A$2:$A$4,'Emission Factors'!$AJ$2:$AJ$4)&gt;0,LOOKUP($B$25,'Emission Factors'!$A$2:$A$4,'Emission Factors'!AL2:AL4)," "))</f>
        <v>28-USEPA EF (pre-control)</v>
      </c>
      <c r="L35" s="16"/>
      <c r="M35" s="16"/>
      <c r="N35" s="12"/>
      <c r="O35" s="12"/>
    </row>
    <row r="36" spans="1:15" x14ac:dyDescent="0.2">
      <c r="I36" s="38"/>
    </row>
    <row r="39" spans="1:15" x14ac:dyDescent="0.2">
      <c r="E39" s="38"/>
      <c r="F39" s="38"/>
    </row>
    <row r="40" spans="1:15" x14ac:dyDescent="0.2">
      <c r="F40" s="38"/>
    </row>
  </sheetData>
  <phoneticPr fontId="0" type="noConversion"/>
  <conditionalFormatting sqref="C11">
    <cfRule type="notContainsBlanks" dxfId="2" priority="1" stopIfTrue="1">
      <formula>LEN(TRIM(C11))&gt;0</formula>
    </cfRule>
    <cfRule type="cellIs" dxfId="1" priority="5" stopIfTrue="1" operator="equal">
      <formula>$B$11=" "</formula>
    </cfRule>
  </conditionalFormatting>
  <conditionalFormatting sqref="B11">
    <cfRule type="cellIs" dxfId="0" priority="6" stopIfTrue="1" operator="equal">
      <formula>$B$11=" "</formula>
    </cfRule>
  </conditionalFormatting>
  <dataValidations xWindow="336" yWindow="417" count="1">
    <dataValidation type="list" allowBlank="1" showInputMessage="1" showErrorMessage="1" sqref="B10" xr:uid="{00000000-0002-0000-0000-000000000000}">
      <formula1>Diesel</formula1>
    </dataValidation>
  </dataValidations>
  <pageMargins left="0.75" right="0.75" top="1" bottom="1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="115" workbookViewId="0"/>
  </sheetViews>
  <sheetFormatPr defaultRowHeight="12.75" x14ac:dyDescent="0.2"/>
  <cols>
    <col min="1" max="1" width="33.140625" style="12" customWidth="1"/>
    <col min="2" max="2" width="11.28515625" style="12" bestFit="1" customWidth="1"/>
    <col min="3" max="3" width="12.42578125" style="12" customWidth="1"/>
    <col min="4" max="4" width="9.140625" style="12"/>
    <col min="5" max="5" width="12.140625" style="12" customWidth="1"/>
    <col min="6" max="6" width="14.28515625" style="12" customWidth="1"/>
    <col min="7" max="7" width="9.140625" style="12"/>
    <col min="8" max="8" width="20.140625" style="12" bestFit="1" customWidth="1"/>
    <col min="9" max="9" width="14.140625" style="12" customWidth="1"/>
    <col min="10" max="10" width="12" style="12" customWidth="1"/>
    <col min="11" max="16384" width="9.140625" style="12"/>
  </cols>
  <sheetData>
    <row r="1" spans="1:9" ht="15.75" x14ac:dyDescent="0.25">
      <c r="A1" s="11" t="s">
        <v>24</v>
      </c>
    </row>
    <row r="2" spans="1:9" x14ac:dyDescent="0.2">
      <c r="A2" s="19" t="s">
        <v>40</v>
      </c>
      <c r="B2" s="172"/>
      <c r="C2" s="173"/>
      <c r="D2" s="173"/>
      <c r="E2" s="173"/>
      <c r="F2" s="174"/>
    </row>
    <row r="4" spans="1:9" x14ac:dyDescent="0.2">
      <c r="A4" s="13" t="s">
        <v>38</v>
      </c>
    </row>
    <row r="5" spans="1:9" x14ac:dyDescent="0.2">
      <c r="B5" s="14" t="s">
        <v>25</v>
      </c>
      <c r="C5" s="14" t="s">
        <v>26</v>
      </c>
      <c r="G5" s="18"/>
    </row>
    <row r="6" spans="1:9" x14ac:dyDescent="0.2">
      <c r="A6" s="10" t="s">
        <v>27</v>
      </c>
      <c r="B6" s="108"/>
      <c r="C6" s="108"/>
    </row>
    <row r="7" spans="1:9" x14ac:dyDescent="0.2">
      <c r="A7" s="10" t="s">
        <v>28</v>
      </c>
      <c r="B7" s="108"/>
      <c r="C7" s="108"/>
    </row>
    <row r="8" spans="1:9" x14ac:dyDescent="0.2">
      <c r="A8" s="10" t="s">
        <v>34</v>
      </c>
      <c r="B8" s="108"/>
      <c r="C8" s="108"/>
    </row>
    <row r="9" spans="1:9" x14ac:dyDescent="0.2">
      <c r="A9" s="10" t="s">
        <v>29</v>
      </c>
      <c r="B9" s="108"/>
      <c r="C9" s="108"/>
    </row>
    <row r="10" spans="1:9" x14ac:dyDescent="0.2">
      <c r="A10" s="10" t="s">
        <v>30</v>
      </c>
      <c r="B10" s="108"/>
      <c r="C10" s="108"/>
    </row>
    <row r="11" spans="1:9" x14ac:dyDescent="0.2">
      <c r="A11" s="10" t="s">
        <v>31</v>
      </c>
      <c r="B11" s="108"/>
      <c r="C11" s="108"/>
    </row>
    <row r="12" spans="1:9" x14ac:dyDescent="0.2">
      <c r="A12" s="10" t="s">
        <v>32</v>
      </c>
      <c r="B12" s="108"/>
      <c r="C12" s="108"/>
    </row>
    <row r="13" spans="1:9" x14ac:dyDescent="0.2">
      <c r="A13" s="10" t="s">
        <v>33</v>
      </c>
      <c r="B13" s="108"/>
      <c r="C13" s="108"/>
      <c r="E13" s="175" t="s">
        <v>109</v>
      </c>
      <c r="F13" s="175"/>
      <c r="G13" s="175"/>
      <c r="H13" s="175"/>
      <c r="I13" s="175"/>
    </row>
    <row r="14" spans="1:9" x14ac:dyDescent="0.2">
      <c r="E14" s="175"/>
      <c r="F14" s="175"/>
      <c r="G14" s="175"/>
      <c r="H14" s="175"/>
      <c r="I14" s="175"/>
    </row>
    <row r="15" spans="1:9" x14ac:dyDescent="0.2">
      <c r="A15" s="13" t="s">
        <v>37</v>
      </c>
      <c r="D15" s="15"/>
    </row>
    <row r="16" spans="1:9" x14ac:dyDescent="0.2">
      <c r="A16" s="33" t="s">
        <v>45</v>
      </c>
      <c r="B16" s="56"/>
      <c r="C16" s="102" t="s">
        <v>114</v>
      </c>
      <c r="D16" s="15"/>
    </row>
    <row r="17" spans="1:10" x14ac:dyDescent="0.2">
      <c r="A17" s="10" t="s">
        <v>92</v>
      </c>
      <c r="B17" s="56"/>
      <c r="C17" s="102" t="s">
        <v>93</v>
      </c>
      <c r="H17" s="12" t="s">
        <v>98</v>
      </c>
    </row>
    <row r="18" spans="1:10" x14ac:dyDescent="0.2">
      <c r="A18" s="10" t="s">
        <v>89</v>
      </c>
      <c r="B18" s="56"/>
      <c r="C18" s="14" t="s">
        <v>90</v>
      </c>
      <c r="D18" s="16" t="s">
        <v>97</v>
      </c>
      <c r="E18" s="14" t="str">
        <f>IF(B18="","",B18*0.14)</f>
        <v/>
      </c>
      <c r="F18" s="14" t="s">
        <v>93</v>
      </c>
      <c r="H18" s="10" t="s">
        <v>95</v>
      </c>
      <c r="I18" s="14" t="str">
        <f>IF(B18="","",IF(B19="",E18,E18-(I19-E19)))</f>
        <v/>
      </c>
      <c r="J18" s="14" t="s">
        <v>94</v>
      </c>
    </row>
    <row r="19" spans="1:10" x14ac:dyDescent="0.2">
      <c r="A19" s="10" t="s">
        <v>88</v>
      </c>
      <c r="B19" s="56"/>
      <c r="C19" s="14" t="s">
        <v>91</v>
      </c>
      <c r="D19" s="16" t="s">
        <v>97</v>
      </c>
      <c r="E19" s="14" t="str">
        <f>IF(B19="","",B19*0.00105)</f>
        <v/>
      </c>
      <c r="F19" s="14" t="s">
        <v>93</v>
      </c>
      <c r="H19" s="10" t="s">
        <v>96</v>
      </c>
      <c r="I19" s="14" t="str">
        <f>IF(B19="","",E19/0.95)</f>
        <v/>
      </c>
      <c r="J19" s="14" t="s">
        <v>94</v>
      </c>
    </row>
    <row r="20" spans="1:10" x14ac:dyDescent="0.2">
      <c r="A20" s="10" t="s">
        <v>66</v>
      </c>
      <c r="B20" s="56"/>
      <c r="C20" s="14" t="s">
        <v>65</v>
      </c>
      <c r="D20" s="68" t="s">
        <v>115</v>
      </c>
      <c r="I20" s="12" t="s">
        <v>99</v>
      </c>
    </row>
    <row r="21" spans="1:10" x14ac:dyDescent="0.2">
      <c r="A21" s="10" t="s">
        <v>35</v>
      </c>
      <c r="B21" s="56"/>
      <c r="C21" s="14" t="s">
        <v>36</v>
      </c>
    </row>
    <row r="22" spans="1:10" x14ac:dyDescent="0.2">
      <c r="B22" s="12" t="s">
        <v>39</v>
      </c>
    </row>
    <row r="24" spans="1:10" x14ac:dyDescent="0.2">
      <c r="B24" s="69" t="s">
        <v>73</v>
      </c>
    </row>
    <row r="25" spans="1:10" x14ac:dyDescent="0.2">
      <c r="B25" s="12" t="s">
        <v>75</v>
      </c>
      <c r="C25" s="61"/>
      <c r="D25" s="23" t="s">
        <v>67</v>
      </c>
      <c r="E25" s="67">
        <f>C25/1000</f>
        <v>0</v>
      </c>
      <c r="F25" s="23" t="s">
        <v>68</v>
      </c>
      <c r="G25" s="55" t="s">
        <v>69</v>
      </c>
    </row>
    <row r="26" spans="1:10" x14ac:dyDescent="0.2">
      <c r="B26" s="12" t="s">
        <v>74</v>
      </c>
      <c r="C26" s="61"/>
      <c r="D26" s="23" t="s">
        <v>67</v>
      </c>
      <c r="E26" s="67">
        <f>C26*0.14</f>
        <v>0</v>
      </c>
      <c r="F26" s="23" t="s">
        <v>64</v>
      </c>
      <c r="G26" s="55" t="s">
        <v>71</v>
      </c>
    </row>
  </sheetData>
  <sheetProtection password="DC15" sheet="1"/>
  <mergeCells count="2">
    <mergeCell ref="B2:F2"/>
    <mergeCell ref="E13:I14"/>
  </mergeCells>
  <phoneticPr fontId="5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zoomScale="115" workbookViewId="0">
      <selection activeCell="A2" sqref="A2"/>
    </sheetView>
  </sheetViews>
  <sheetFormatPr defaultRowHeight="12.75" x14ac:dyDescent="0.2"/>
  <cols>
    <col min="1" max="2" width="10.85546875" customWidth="1"/>
    <col min="3" max="3" width="9.42578125" customWidth="1"/>
    <col min="4" max="4" width="11.5703125" customWidth="1"/>
    <col min="6" max="6" width="9.7109375" customWidth="1"/>
    <col min="9" max="10" width="8.7109375" customWidth="1"/>
  </cols>
  <sheetData>
    <row r="1" spans="1:10" x14ac:dyDescent="0.2">
      <c r="A1" t="s">
        <v>87</v>
      </c>
    </row>
    <row r="3" spans="1:10" ht="15.75" x14ac:dyDescent="0.25">
      <c r="A3" s="196" t="s">
        <v>86</v>
      </c>
      <c r="B3" s="196"/>
      <c r="C3" s="196"/>
      <c r="D3" s="196"/>
      <c r="E3" s="196"/>
      <c r="F3" s="196"/>
      <c r="G3" s="196"/>
      <c r="H3" s="196"/>
    </row>
    <row r="4" spans="1:10" s="26" customFormat="1" x14ac:dyDescent="0.2">
      <c r="A4" s="182" t="s">
        <v>42</v>
      </c>
      <c r="B4" s="183"/>
      <c r="C4" s="178"/>
      <c r="D4" s="179" t="str">
        <f>Combustion!E10</f>
        <v xml:space="preserve"> </v>
      </c>
      <c r="E4" s="180"/>
      <c r="F4" s="180"/>
      <c r="G4" s="180"/>
      <c r="H4" s="180"/>
      <c r="I4" s="180"/>
      <c r="J4" s="181"/>
    </row>
    <row r="5" spans="1:10" s="26" customFormat="1" x14ac:dyDescent="0.2">
      <c r="A5" s="182" t="s">
        <v>43</v>
      </c>
      <c r="B5" s="183"/>
      <c r="C5" s="184"/>
      <c r="D5" s="179" t="e">
        <f>Combustion!A12</f>
        <v>#N/A</v>
      </c>
      <c r="E5" s="180"/>
      <c r="F5" s="180"/>
      <c r="G5" s="180"/>
      <c r="H5" s="180"/>
      <c r="I5" s="180"/>
      <c r="J5" s="181"/>
    </row>
    <row r="6" spans="1:10" s="26" customFormat="1" x14ac:dyDescent="0.2">
      <c r="A6" s="182" t="s">
        <v>44</v>
      </c>
      <c r="B6" s="183"/>
      <c r="C6" s="185"/>
      <c r="D6" s="179" t="e">
        <f>Combustion!A13</f>
        <v>#N/A</v>
      </c>
      <c r="E6" s="180"/>
      <c r="F6" s="180"/>
      <c r="G6" s="180"/>
      <c r="H6" s="180"/>
      <c r="I6" s="180"/>
      <c r="J6" s="181"/>
    </row>
    <row r="7" spans="1:10" x14ac:dyDescent="0.2">
      <c r="A7" s="186" t="s">
        <v>2</v>
      </c>
      <c r="B7" s="188"/>
      <c r="C7" s="184"/>
      <c r="D7" s="191" t="e">
        <f>IF('Permit Limits'!B16&gt;0,'Permit Limits'!B16,Combustion!#REF!)</f>
        <v>#REF!</v>
      </c>
      <c r="E7" s="192"/>
      <c r="F7" s="193" t="str">
        <f>Combustion!D10</f>
        <v>E6BTU-Million BTUS/yr</v>
      </c>
      <c r="G7" s="194"/>
      <c r="H7" s="195"/>
      <c r="I7" s="186" t="s">
        <v>3</v>
      </c>
      <c r="J7" s="184"/>
    </row>
    <row r="8" spans="1:10" x14ac:dyDescent="0.2">
      <c r="A8" s="8"/>
      <c r="B8" s="8"/>
      <c r="C8" s="8"/>
      <c r="D8" s="9"/>
      <c r="E8" s="7"/>
      <c r="F8" s="5"/>
      <c r="G8" s="5"/>
      <c r="H8" s="5"/>
      <c r="I8" s="6"/>
      <c r="J8" s="6"/>
    </row>
    <row r="9" spans="1:10" x14ac:dyDescent="0.2">
      <c r="A9" s="176" t="s">
        <v>4</v>
      </c>
      <c r="B9" s="177"/>
      <c r="C9" s="177"/>
      <c r="D9" s="177"/>
      <c r="E9" s="177"/>
      <c r="F9" s="177"/>
      <c r="G9" s="177"/>
      <c r="H9" s="177"/>
      <c r="I9" s="177"/>
      <c r="J9" s="178"/>
    </row>
    <row r="10" spans="1:10" x14ac:dyDescent="0.2">
      <c r="A10" s="1">
        <v>14</v>
      </c>
      <c r="B10" s="1">
        <v>15</v>
      </c>
      <c r="C10" s="1">
        <v>16</v>
      </c>
      <c r="D10" s="1">
        <v>17</v>
      </c>
      <c r="E10" s="1">
        <v>18</v>
      </c>
      <c r="F10" s="1">
        <v>19</v>
      </c>
      <c r="G10" s="1">
        <v>20</v>
      </c>
      <c r="H10" s="1">
        <v>21</v>
      </c>
      <c r="I10" s="1">
        <v>22</v>
      </c>
      <c r="J10" s="1">
        <v>23</v>
      </c>
    </row>
    <row r="11" spans="1:10" ht="67.5" x14ac:dyDescent="0.2">
      <c r="A11" s="3" t="s">
        <v>5</v>
      </c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11</v>
      </c>
      <c r="H11" s="3" t="s">
        <v>12</v>
      </c>
      <c r="I11" s="3" t="s">
        <v>13</v>
      </c>
      <c r="J11" s="3" t="s">
        <v>14</v>
      </c>
    </row>
    <row r="12" spans="1:10" x14ac:dyDescent="0.2">
      <c r="A12" s="4" t="s">
        <v>15</v>
      </c>
      <c r="B12" s="27" t="str">
        <f>IF(Combustion!G10&gt;0,IF(Combustion!G10&gt;Combustion!G25,Combustion!G10," "),"")</f>
        <v xml:space="preserve"> </v>
      </c>
      <c r="C12" s="28" t="str">
        <f>IF(B12=" "," ",Combustion!H10)</f>
        <v xml:space="preserve"> </v>
      </c>
      <c r="D12" s="74" t="str">
        <f>IF(B12=" "," ",Combustion!I10)</f>
        <v xml:space="preserve"> </v>
      </c>
      <c r="E12" s="103"/>
      <c r="F12" s="31" t="str">
        <f>IF(B12=" "," ",$D$7*B12)</f>
        <v xml:space="preserve"> </v>
      </c>
      <c r="G12" s="29"/>
      <c r="H12" s="103"/>
      <c r="I12" s="31"/>
      <c r="J12" s="50" t="str">
        <f>IF(B12=" "," ",IF('Permit Limits'!B17&gt;0,'Permit Limits'!B17*B12/2000,IF('Permit Limits'!B18&gt;0,'Permit Limits'!I18*B12/2000,IF('Permit Limits'!B21&gt;0,'Permit Limits'!B21*D7*B13/2000,IF('Permit Limits'!C8=99,'INV-3'!B12*61875/2000,F12*8760/2000)))))</f>
        <v xml:space="preserve"> </v>
      </c>
    </row>
    <row r="13" spans="1:10" x14ac:dyDescent="0.2">
      <c r="A13" s="4" t="s">
        <v>16</v>
      </c>
      <c r="B13" s="27" t="str">
        <f>IF(Combustion!G11&gt;0,Combustion!G11," ")</f>
        <v xml:space="preserve"> </v>
      </c>
      <c r="C13" s="28" t="str">
        <f>IF(Combustion!G11=" "," ",Combustion!H11)</f>
        <v xml:space="preserve"> </v>
      </c>
      <c r="D13" s="74" t="str">
        <f>IF(Combustion!G11&gt;0,Combustion!I11," ")</f>
        <v xml:space="preserve"> </v>
      </c>
      <c r="E13" s="103"/>
      <c r="F13" s="31" t="str">
        <f>IF(Combustion!G11=" "," ",$D$7*B13)</f>
        <v xml:space="preserve"> </v>
      </c>
      <c r="G13" s="29"/>
      <c r="H13" s="103"/>
      <c r="I13" s="31" t="str">
        <f>IF('Permit Limits'!B6&gt;0,'Permit Limits'!B6," ")</f>
        <v xml:space="preserve"> </v>
      </c>
      <c r="J13" s="50" t="str">
        <f>IF(Combustion!G11=" "," ",IF('Permit Limits'!C6&gt;0,'Permit Limits'!C6,IF('Permit Limits'!B17&gt;0,'Permit Limits'!B17*B13/2000,IF('Permit Limits'!B18&gt;0,'Permit Limits'!I18*B13/2000,IF('Permit Limits'!B21&gt;0,IF('Permit Limits'!B6&gt;0,('Permit Limits'!B6*'Permit Limits'!B21/2000),'Permit Limits'!B21*D7*B13/2000),IF('Permit Limits'!B6&gt;0,'Permit Limits'!B6*8760/2000,IF('Permit Limits'!C8=99,B13*61875/2000,F13*8760/2000)))))))</f>
        <v xml:space="preserve"> </v>
      </c>
    </row>
    <row r="14" spans="1:10" x14ac:dyDescent="0.2">
      <c r="A14" s="4" t="s">
        <v>17</v>
      </c>
      <c r="B14" s="27" t="str">
        <f>IF(Combustion!G12&gt;0,Combustion!G12," ")</f>
        <v xml:space="preserve"> </v>
      </c>
      <c r="C14" s="28" t="str">
        <f>IF(Combustion!G12=" "," ",Combustion!H12)</f>
        <v xml:space="preserve"> </v>
      </c>
      <c r="D14" s="74" t="str">
        <f>IF(Combustion!G12&gt;0,Combustion!I12," ")</f>
        <v xml:space="preserve"> </v>
      </c>
      <c r="E14" s="27" t="str">
        <f>IF(Combustion!B10="Diesel Fuel Combustion ≤ 600 bhp","",IF(Combustion!B10="","",IF('Permit Limits'!B20&gt;0,'Permit Limits'!B20,IF(Combustion!C11&gt;0,IF(Combustion!C11&gt;0.5,0.5,Combustion!C11),0.5))))</f>
        <v/>
      </c>
      <c r="F14" s="31" t="str">
        <f>IF(Combustion!G12=" "," ",IF(Combustion!B10="Diesel Fuel Combustion ≤ 600 bhp",B14*D7,""))</f>
        <v xml:space="preserve"> </v>
      </c>
      <c r="G14" s="29"/>
      <c r="H14" s="46"/>
      <c r="I14" s="31" t="str">
        <f>IF('Permit Limits'!B7&gt;0,'Permit Limits'!B7,IF(Combustion!B10="Diesel Fuel Combustion &gt; 600 bhp",B14*E14*D7,""))</f>
        <v/>
      </c>
      <c r="J14" s="31" t="str">
        <f>IF(Combustion!G12=" "," ",IF('Permit Limits'!C7&gt;0,'Permit Limits'!C7,IF('Permit Limits'!B17&gt;0,'Permit Limits'!B17*B14*E14/2000,IF('Permit Limits'!B18&gt;0,'Permit Limits'!I18*B14*E14/2000,IF('Permit Limits'!B21&gt;0,IF('Permit Limits'!B7&gt;0,('Permit Limits'!B7*'Permit Limits'!B21/2000),'Permit Limits'!B21*D7*B14*E14/2000),IF('Permit Limits'!B7&gt;0,'Permit Limits'!B7*8760/2000,IF('Permit Limits'!C8=99,B14*E14*61875/2000,IF(I14&gt;0,I14*8760/2000,F14*8760/2000))))))))</f>
        <v xml:space="preserve"> </v>
      </c>
    </row>
    <row r="15" spans="1:10" x14ac:dyDescent="0.2">
      <c r="A15" s="4" t="s">
        <v>18</v>
      </c>
      <c r="B15" s="27" t="str">
        <f>IF(Combustion!G13&gt;0,Combustion!G13," ")</f>
        <v xml:space="preserve"> </v>
      </c>
      <c r="C15" s="28" t="str">
        <f>IF(Combustion!G13=" "," ",Combustion!H13)</f>
        <v xml:space="preserve"> </v>
      </c>
      <c r="D15" s="74" t="str">
        <f>IF(Combustion!G13&gt;0,Combustion!I13," ")</f>
        <v xml:space="preserve"> </v>
      </c>
      <c r="E15" s="2"/>
      <c r="F15" s="31" t="str">
        <f>IF(Combustion!G13= " "," ",$D$7*B15)</f>
        <v xml:space="preserve"> </v>
      </c>
      <c r="G15" s="29"/>
      <c r="H15" s="2"/>
      <c r="I15" s="27" t="str">
        <f>IF('Permit Limits'!B8&gt;0,'Permit Limits'!B8," ")</f>
        <v xml:space="preserve"> </v>
      </c>
      <c r="J15" s="31" t="str">
        <f>IF(Combustion!G13=" "," ",IF('Permit Limits'!C8&gt;0,'Permit Limits'!C8,IF('Permit Limits'!B17&gt;0,'Permit Limits'!B17*B15/2000,IF('Permit Limits'!B18&gt;0,'Permit Limits'!I18*B15/2000,IF('Permit Limits'!B21&gt;0,IF('Permit Limits'!B8&gt;0,('Permit Limits'!B21*'Permit Limits'!B8/2000),'Permit Limits'!B21*D7*B15/2000),IF('Permit Limits'!B8&gt;0,'Permit Limits'!B8*8760/2000,IF('Permit Limits'!C8=99,B15*61875/2000,F15*8760/2000)))))))</f>
        <v xml:space="preserve"> </v>
      </c>
    </row>
    <row r="16" spans="1:10" x14ac:dyDescent="0.2">
      <c r="A16" s="4" t="s">
        <v>19</v>
      </c>
      <c r="B16" s="27"/>
      <c r="C16" s="28"/>
      <c r="D16" s="74"/>
      <c r="E16" s="2"/>
      <c r="F16" s="31"/>
      <c r="G16" s="29"/>
      <c r="H16" s="2"/>
      <c r="I16" s="27"/>
      <c r="J16" s="31"/>
    </row>
    <row r="17" spans="1:11" x14ac:dyDescent="0.2">
      <c r="A17" s="4" t="s">
        <v>20</v>
      </c>
      <c r="B17" s="27"/>
      <c r="C17" s="28"/>
      <c r="D17" s="74"/>
      <c r="E17" s="2"/>
      <c r="F17" s="31"/>
      <c r="G17" s="29"/>
      <c r="H17" s="2"/>
      <c r="I17" s="27"/>
      <c r="J17" s="31"/>
    </row>
    <row r="18" spans="1:11" x14ac:dyDescent="0.2">
      <c r="A18" s="4" t="s">
        <v>21</v>
      </c>
      <c r="B18" s="27"/>
      <c r="C18" s="28"/>
      <c r="D18" s="82"/>
      <c r="E18" s="2"/>
      <c r="F18" s="27"/>
      <c r="G18" s="29"/>
      <c r="H18" s="2"/>
      <c r="I18" s="27"/>
      <c r="J18" s="31"/>
    </row>
    <row r="19" spans="1:11" x14ac:dyDescent="0.2">
      <c r="A19" s="4" t="s">
        <v>22</v>
      </c>
      <c r="B19" s="27"/>
      <c r="C19" s="28"/>
      <c r="D19" s="83"/>
      <c r="E19" s="2"/>
      <c r="G19" s="29"/>
      <c r="H19" s="2"/>
      <c r="I19" s="27"/>
      <c r="J19" s="85"/>
    </row>
    <row r="20" spans="1:11" x14ac:dyDescent="0.2">
      <c r="A20" s="176" t="s">
        <v>23</v>
      </c>
      <c r="B20" s="177"/>
      <c r="C20" s="177"/>
      <c r="D20" s="177"/>
      <c r="E20" s="177"/>
      <c r="F20" s="177"/>
      <c r="G20" s="177"/>
      <c r="H20" s="177"/>
      <c r="I20" s="177"/>
      <c r="J20" s="187"/>
      <c r="K20" t="s">
        <v>72</v>
      </c>
    </row>
    <row r="21" spans="1:11" ht="14.25" customHeight="1" x14ac:dyDescent="0.2">
      <c r="A21" s="3" t="str">
        <f>IF(Combustion!G21="","",Combustion!F21)</f>
        <v>Acetaldehyde</v>
      </c>
      <c r="B21" s="97" t="str">
        <f>IF(Combustion!H21="","",Combustion!G21)</f>
        <v xml:space="preserve"> </v>
      </c>
      <c r="C21" s="54" t="str">
        <f>IF(Combustion!G21=" "," ",Combustion!H21)</f>
        <v xml:space="preserve"> </v>
      </c>
      <c r="D21" s="84" t="str">
        <f>IF(Combustion!G21&gt;0,Combustion!I21," ")</f>
        <v xml:space="preserve"> </v>
      </c>
      <c r="E21" s="49"/>
      <c r="F21" s="31" t="str">
        <f>IF(Combustion!G21= " "," ",$D$7*B21)</f>
        <v xml:space="preserve"> </v>
      </c>
      <c r="G21" s="27"/>
      <c r="H21" s="49"/>
      <c r="I21" s="27"/>
      <c r="J21" s="31" t="str">
        <f>IF(Combustion!G21=" "," ",IF('Permit Limits'!$C$12&gt;0,'Permit Limits'!$C$12,IF('Permit Limits'!$B$17&gt;0,'Permit Limits'!$B$17*B21/2000,IF('Permit Limits'!$B$18&gt;0,'Permit Limits'!$I$18*B21/2000,IF('Permit Limits'!$B$21&gt;0,IF('Permit Limits'!$B$8&gt;0,('Permit Limits'!$B$21*'Permit Limits'!$B$8/2000),'Permit Limits'!$B$21*$D$7*B21/2000),IF('Permit Limits'!$B$12&gt;0,'Permit Limits'!$B$12*8760/2000,IF('Permit Limits'!C8=99,B21*61875/2000,F21*8760/2000)))))))</f>
        <v xml:space="preserve"> </v>
      </c>
    </row>
    <row r="22" spans="1:11" ht="12.75" customHeight="1" x14ac:dyDescent="0.2">
      <c r="A22" s="3" t="str">
        <f>IF(Combustion!G22="","",Combustion!F22)</f>
        <v>Acrolein</v>
      </c>
      <c r="B22" s="97" t="str">
        <f>IF(Combustion!H22="","",Combustion!G22)</f>
        <v xml:space="preserve"> </v>
      </c>
      <c r="C22" s="54" t="str">
        <f>IF(Combustion!G22=" "," ",Combustion!H22)</f>
        <v xml:space="preserve"> </v>
      </c>
      <c r="D22" s="84" t="str">
        <f>IF(Combustion!G22&gt;0,Combustion!I22," ")</f>
        <v xml:space="preserve"> </v>
      </c>
      <c r="E22" s="49"/>
      <c r="F22" s="31" t="str">
        <f>IF(Combustion!G22= " "," ",$D$7*B22)</f>
        <v xml:space="preserve"> </v>
      </c>
      <c r="G22" s="27"/>
      <c r="H22" s="49"/>
      <c r="I22" s="27"/>
      <c r="J22" s="31" t="str">
        <f>IF(Combustion!G22=" "," ",IF('Permit Limits'!$C$12&gt;0,'Permit Limits'!$C$12,IF('Permit Limits'!$B$17&gt;0,'Permit Limits'!$B$17*B22/2000,IF('Permit Limits'!$B$18&gt;0,'Permit Limits'!$I$18*B22/2000,IF('Permit Limits'!$B$21&gt;0,IF('Permit Limits'!$B$8&gt;0,('Permit Limits'!$B$21*'Permit Limits'!$B$8/2000),'Permit Limits'!$B$21*$D$7*B22/2000),IF('Permit Limits'!$B$12&gt;0,'Permit Limits'!$B$12*8760/2000,IF('Permit Limits'!C8=99,B22*61875/2000,F22*8760/2000)))))))</f>
        <v xml:space="preserve"> </v>
      </c>
    </row>
    <row r="23" spans="1:11" ht="14.25" customHeight="1" x14ac:dyDescent="0.2">
      <c r="A23" s="3"/>
      <c r="B23" s="45"/>
      <c r="C23" s="54"/>
      <c r="D23" s="84"/>
      <c r="E23" s="49"/>
      <c r="F23" s="31"/>
      <c r="G23" s="27"/>
      <c r="H23" s="49"/>
      <c r="I23" s="27"/>
      <c r="J23" s="50"/>
    </row>
    <row r="24" spans="1:11" ht="14.25" customHeight="1" x14ac:dyDescent="0.2">
      <c r="A24" s="3"/>
      <c r="B24" s="45"/>
      <c r="C24" s="54"/>
      <c r="D24" s="84"/>
      <c r="E24" s="49"/>
      <c r="F24" s="31"/>
      <c r="G24" s="27"/>
      <c r="H24" s="49"/>
      <c r="I24" s="27"/>
      <c r="J24" s="50"/>
    </row>
    <row r="25" spans="1:11" ht="14.25" customHeight="1" x14ac:dyDescent="0.2">
      <c r="A25" s="3"/>
      <c r="B25" s="45"/>
      <c r="C25" s="54"/>
      <c r="D25" s="84"/>
      <c r="E25" s="49"/>
      <c r="F25" s="31"/>
      <c r="G25" s="27"/>
      <c r="H25" s="49"/>
      <c r="I25" s="27"/>
      <c r="J25" s="50"/>
    </row>
    <row r="26" spans="1:11" x14ac:dyDescent="0.2">
      <c r="A26" s="96" t="s">
        <v>107</v>
      </c>
    </row>
    <row r="27" spans="1:11" x14ac:dyDescent="0.2">
      <c r="A27" s="96"/>
    </row>
    <row r="29" spans="1:11" ht="15.75" x14ac:dyDescent="0.25">
      <c r="A29" s="189" t="s">
        <v>86</v>
      </c>
      <c r="B29" s="190"/>
      <c r="C29" s="190"/>
      <c r="D29" s="190"/>
      <c r="E29" s="190"/>
      <c r="F29" s="190"/>
      <c r="G29" s="190"/>
      <c r="H29" s="190"/>
    </row>
    <row r="30" spans="1:11" x14ac:dyDescent="0.2">
      <c r="A30" s="182" t="s">
        <v>42</v>
      </c>
      <c r="B30" s="183"/>
      <c r="C30" s="178"/>
      <c r="D30" s="179">
        <f>Combustion!E25</f>
        <v>20200402</v>
      </c>
      <c r="E30" s="180"/>
      <c r="F30" s="180"/>
      <c r="G30" s="180"/>
      <c r="H30" s="180"/>
      <c r="I30" s="180"/>
      <c r="J30" s="181"/>
    </row>
    <row r="31" spans="1:11" x14ac:dyDescent="0.2">
      <c r="A31" s="182" t="s">
        <v>43</v>
      </c>
      <c r="B31" s="183"/>
      <c r="C31" s="184"/>
      <c r="D31" s="179" t="str">
        <f>Combustion!A25</f>
        <v>Dual Fuel Combustion</v>
      </c>
      <c r="E31" s="180"/>
      <c r="F31" s="180"/>
      <c r="G31" s="180"/>
      <c r="H31" s="180"/>
      <c r="I31" s="180"/>
      <c r="J31" s="181"/>
    </row>
    <row r="32" spans="1:11" x14ac:dyDescent="0.2">
      <c r="A32" s="182" t="s">
        <v>44</v>
      </c>
      <c r="B32" s="183"/>
      <c r="C32" s="185"/>
      <c r="D32" s="179" t="str">
        <f>Combustion!A29</f>
        <v>Dual Fuel (95% Natural Gas, 5% Diesel Fuel)</v>
      </c>
      <c r="E32" s="180"/>
      <c r="F32" s="180"/>
      <c r="G32" s="180"/>
      <c r="H32" s="180"/>
      <c r="I32" s="180"/>
      <c r="J32" s="181"/>
    </row>
    <row r="33" spans="1:10" x14ac:dyDescent="0.2">
      <c r="A33" s="186" t="s">
        <v>2</v>
      </c>
      <c r="B33" s="188"/>
      <c r="C33" s="184"/>
      <c r="D33" s="191" t="e">
        <f>IF('Permit Limits'!B16&gt;0,'Permit Limits'!B16,Combustion!#REF!)</f>
        <v>#REF!</v>
      </c>
      <c r="E33" s="192"/>
      <c r="F33" s="193" t="str">
        <f>Combustion!D25</f>
        <v>E6BTU-Million BTUS/yr</v>
      </c>
      <c r="G33" s="194"/>
      <c r="H33" s="195"/>
      <c r="I33" s="186" t="s">
        <v>3</v>
      </c>
      <c r="J33" s="184"/>
    </row>
    <row r="34" spans="1:10" x14ac:dyDescent="0.2">
      <c r="A34" s="8"/>
      <c r="B34" s="8"/>
      <c r="C34" s="8"/>
      <c r="D34" s="9"/>
      <c r="E34" s="7"/>
      <c r="F34" s="5"/>
      <c r="G34" s="5"/>
      <c r="H34" s="5"/>
      <c r="I34" s="6"/>
      <c r="J34" s="6"/>
    </row>
    <row r="35" spans="1:10" x14ac:dyDescent="0.2">
      <c r="A35" s="176" t="s">
        <v>4</v>
      </c>
      <c r="B35" s="177"/>
      <c r="C35" s="177"/>
      <c r="D35" s="177"/>
      <c r="E35" s="177"/>
      <c r="F35" s="177"/>
      <c r="G35" s="177"/>
      <c r="H35" s="177"/>
      <c r="I35" s="177"/>
      <c r="J35" s="187"/>
    </row>
    <row r="36" spans="1:10" x14ac:dyDescent="0.2">
      <c r="A36" s="1">
        <v>14</v>
      </c>
      <c r="B36" s="1">
        <v>15</v>
      </c>
      <c r="C36" s="1">
        <v>16</v>
      </c>
      <c r="D36" s="1">
        <v>17</v>
      </c>
      <c r="E36" s="1">
        <v>18</v>
      </c>
      <c r="F36" s="1">
        <v>19</v>
      </c>
      <c r="G36" s="1">
        <v>20</v>
      </c>
      <c r="H36" s="1">
        <v>21</v>
      </c>
      <c r="I36" s="1">
        <v>22</v>
      </c>
      <c r="J36" s="1">
        <v>23</v>
      </c>
    </row>
    <row r="37" spans="1:10" ht="67.5" x14ac:dyDescent="0.2">
      <c r="A37" s="3" t="s">
        <v>5</v>
      </c>
      <c r="B37" s="3" t="s">
        <v>6</v>
      </c>
      <c r="C37" s="3" t="s">
        <v>7</v>
      </c>
      <c r="D37" s="3" t="s">
        <v>8</v>
      </c>
      <c r="E37" s="3" t="s">
        <v>9</v>
      </c>
      <c r="F37" s="3" t="s">
        <v>10</v>
      </c>
      <c r="G37" s="3" t="s">
        <v>11</v>
      </c>
      <c r="H37" s="3" t="s">
        <v>12</v>
      </c>
      <c r="I37" s="3" t="s">
        <v>13</v>
      </c>
      <c r="J37" s="3" t="s">
        <v>14</v>
      </c>
    </row>
    <row r="38" spans="1:10" x14ac:dyDescent="0.2">
      <c r="A38" s="4" t="s">
        <v>15</v>
      </c>
      <c r="B38" s="27" t="str">
        <f>IF(Combustion!G25&gt;0,IF(Combustion!G25&gt;Combustion!G10,Combustion!G25," "),"")</f>
        <v xml:space="preserve"> </v>
      </c>
      <c r="C38" s="28" t="str">
        <f>IF(B38=" "," ",Combustion!H25)</f>
        <v xml:space="preserve"> </v>
      </c>
      <c r="D38" s="74" t="str">
        <f>IF(B38=" "," ",Combustion!I25)</f>
        <v xml:space="preserve"> </v>
      </c>
      <c r="E38" s="103"/>
      <c r="F38" s="31" t="str">
        <f>IF(B38=" "," ",$D$7*B38)</f>
        <v xml:space="preserve"> </v>
      </c>
      <c r="G38" s="29"/>
      <c r="H38" s="103"/>
      <c r="I38" s="34"/>
      <c r="J38" s="50" t="str">
        <f>IF(B38=" "," ",IF('Permit Limits'!B17&gt;0,'Permit Limits'!B17*B38/2000,IF('Permit Limits'!B19&gt;0,'Permit Limits'!I19*B38/2000,IF('Permit Limits'!B21&gt;0,'Permit Limits'!B21*D33*B38/2000,IF('Permit Limits'!C8=99,B38*73333.33/2000,F38*8760/2000)))))</f>
        <v xml:space="preserve"> </v>
      </c>
    </row>
    <row r="39" spans="1:10" x14ac:dyDescent="0.2">
      <c r="A39" s="4" t="s">
        <v>16</v>
      </c>
      <c r="B39" s="27"/>
      <c r="C39" s="28"/>
      <c r="D39" s="74"/>
      <c r="E39" s="103"/>
      <c r="F39" s="31"/>
      <c r="G39" s="29"/>
      <c r="H39" s="103"/>
      <c r="I39" s="34"/>
      <c r="J39" s="50"/>
    </row>
    <row r="40" spans="1:10" x14ac:dyDescent="0.2">
      <c r="A40" s="4" t="s">
        <v>17</v>
      </c>
      <c r="B40" s="27"/>
      <c r="C40" s="28"/>
      <c r="D40" s="74"/>
      <c r="E40" s="27"/>
      <c r="F40" s="31"/>
      <c r="G40" s="29"/>
      <c r="H40" s="46"/>
      <c r="I40" s="29"/>
      <c r="J40" s="31"/>
    </row>
    <row r="41" spans="1:10" x14ac:dyDescent="0.2">
      <c r="A41" s="4" t="s">
        <v>18</v>
      </c>
      <c r="B41" s="27"/>
      <c r="C41" s="28"/>
      <c r="D41" s="74"/>
      <c r="E41" s="2"/>
      <c r="F41" s="31"/>
      <c r="G41" s="29"/>
      <c r="H41" s="2"/>
      <c r="I41" s="29"/>
      <c r="J41" s="31"/>
    </row>
    <row r="42" spans="1:10" x14ac:dyDescent="0.2">
      <c r="A42" s="4" t="s">
        <v>19</v>
      </c>
      <c r="B42" s="27">
        <f>IF(Combustion!G29&gt;0,Combustion!G29," ")</f>
        <v>0.2</v>
      </c>
      <c r="C42" s="28" t="str">
        <f>IF(Combustion!G29=" "," ",Combustion!H29)</f>
        <v>E6BTU-Million BTUS</v>
      </c>
      <c r="D42" s="74" t="str">
        <f>IF(Combustion!G29&gt;0,Combustion!I29," ")</f>
        <v>AP-42 Table 3.4-1</v>
      </c>
      <c r="E42" s="2"/>
      <c r="F42" s="31" t="e">
        <f>IF(Combustion!I43=" "," ",$D$7*B42)</f>
        <v>#REF!</v>
      </c>
      <c r="G42" s="29"/>
      <c r="H42" s="2"/>
      <c r="I42" s="29" t="str">
        <f>IF('Permit Limits'!B9&gt;0,'Permit Limits'!B9," ")</f>
        <v xml:space="preserve"> </v>
      </c>
      <c r="J42" s="31" t="e">
        <f>IF(Combustion!G29=" "," ",IF('Permit Limits'!C9&gt;0,'Permit Limits'!C9,IF('Permit Limits'!$B$17&gt;0,'Permit Limits'!$B$17*B42/2000,IF('Permit Limits'!$B$19&gt;0,'Permit Limits'!$I$19*B42/2000,IF('Permit Limits'!$B$21&gt;0,IF('Permit Limits'!B9&gt;0,('Permit Limits'!$B$21*'Permit Limits'!B9/2000),'Permit Limits'!$B$21*$D$33*B42/2000),IF('Permit Limits'!B9&gt;0,'Permit Limits'!B9*8760/2000,IF('Permit Limits'!C8=99,B42*73333.33/2000,F42*8760/2000)))))))</f>
        <v>#REF!</v>
      </c>
    </row>
    <row r="43" spans="1:10" x14ac:dyDescent="0.2">
      <c r="A43" s="4" t="s">
        <v>20</v>
      </c>
      <c r="B43" s="27">
        <f>IF(Combustion!G30&gt;0,Combustion!G30," ")</f>
        <v>1.1599999999999999</v>
      </c>
      <c r="C43" s="28" t="str">
        <f>IF(Combustion!G30=" "," ",Combustion!H30)</f>
        <v>E6BTU-Million BTUS</v>
      </c>
      <c r="D43" s="74" t="str">
        <f>IF(Combustion!G30&gt;0,Combustion!I30," ")</f>
        <v>AP-42 Table 3.4-1</v>
      </c>
      <c r="E43" s="2"/>
      <c r="F43" s="31" t="e">
        <f>IF(Combustion!I44=" "," ",$D$7*B43)</f>
        <v>#REF!</v>
      </c>
      <c r="G43" s="29"/>
      <c r="H43" s="2"/>
      <c r="I43" s="29" t="str">
        <f>IF('Permit Limits'!B10&gt;0,'Permit Limits'!B10," ")</f>
        <v xml:space="preserve"> </v>
      </c>
      <c r="J43" s="31" t="e">
        <f>IF(Combustion!G30=" "," ",IF('Permit Limits'!C10&gt;0,'Permit Limits'!C10,IF('Permit Limits'!$B$17&gt;0,'Permit Limits'!$B$17*B43/2000,IF('Permit Limits'!$B$19&gt;0,'Permit Limits'!$I$19*B43/2000,IF('Permit Limits'!$B$21&gt;0,IF('Permit Limits'!B10&gt;0,('Permit Limits'!$B$21*'Permit Limits'!B10/2000),'Permit Limits'!$B$21*$D$33*B43/2000),IF('Permit Limits'!B10&gt;0,'Permit Limits'!B10*8760/2000,IF('Permit Limits'!C8=99,B43*73333.33/2000,F43*8760/2000)))))))</f>
        <v>#REF!</v>
      </c>
    </row>
    <row r="44" spans="1:10" x14ac:dyDescent="0.2">
      <c r="A44" s="4" t="s">
        <v>21</v>
      </c>
      <c r="B44" s="27"/>
      <c r="C44" s="28"/>
      <c r="D44" s="82"/>
      <c r="E44" s="2"/>
      <c r="F44" s="27"/>
      <c r="G44" s="29"/>
      <c r="H44" s="2"/>
      <c r="I44" s="29"/>
      <c r="J44" s="31"/>
    </row>
    <row r="45" spans="1:10" x14ac:dyDescent="0.2">
      <c r="A45" s="4" t="s">
        <v>22</v>
      </c>
      <c r="B45" s="27"/>
      <c r="C45" s="28"/>
      <c r="D45" s="83"/>
      <c r="E45" s="2"/>
      <c r="F45" s="31"/>
      <c r="G45" s="29"/>
      <c r="H45" s="2"/>
      <c r="I45" s="29"/>
      <c r="J45" s="31"/>
    </row>
    <row r="46" spans="1:10" x14ac:dyDescent="0.2">
      <c r="A46" s="176" t="s">
        <v>23</v>
      </c>
      <c r="B46" s="177"/>
      <c r="C46" s="177"/>
      <c r="D46" s="177"/>
      <c r="E46" s="177"/>
      <c r="F46" s="177"/>
      <c r="G46" s="177"/>
      <c r="H46" s="177"/>
      <c r="I46" s="177"/>
      <c r="J46" s="187"/>
    </row>
    <row r="47" spans="1:10" x14ac:dyDescent="0.2">
      <c r="A47" s="3" t="str">
        <f>IF(Combustion!G31=" "," ",Combustion!F31)</f>
        <v>Benzene</v>
      </c>
      <c r="B47" s="45">
        <f>IF(Combustion!G31&gt;0,Combustion!G31," ")</f>
        <v>4.45E-3</v>
      </c>
      <c r="C47" s="54" t="str">
        <f>IF(Combustion!G31=" "," ",Combustion!H31)</f>
        <v>E6BTU-Million BTUS</v>
      </c>
      <c r="D47" s="84" t="str">
        <f>IF(Combustion!G31&gt;0,Combustion!I31," ")</f>
        <v>WebFIRE</v>
      </c>
      <c r="E47" s="49"/>
      <c r="F47" s="31" t="e">
        <f>IF(Combustion!G31=" "," ",$D$33*B47)</f>
        <v>#REF!</v>
      </c>
      <c r="G47" s="27"/>
      <c r="H47" s="49"/>
      <c r="I47" s="27" t="str">
        <f>IF(Combustion!G31=" "," ",IF('Permit Limits'!$B$12&gt;0,'Permit Limits'!$B$12," "))</f>
        <v xml:space="preserve"> </v>
      </c>
      <c r="J47" s="50" t="e">
        <f>IF(Combustion!G31=" "," ",IF('Permit Limits'!$C$12&gt;0,'Permit Limits'!$C$12,IF('Permit Limits'!$B$17&gt;0,'Permit Limits'!$B$17*B47/2000,IF('Permit Limits'!$B$19&gt;0,'Permit Limits'!$I$19*B47/2000,IF('Permit Limits'!$B$21&gt;0,IF('Permit Limits'!$B$12&gt;0,('Permit Limits'!$B$12*'Permit Limits'!$B$21/2000),'Permit Limits'!$B$21*$D$33*B47/2000),IF('Permit Limits'!$B$12&gt;0,'Permit Limits'!$B$12*8760/2000,IF('Permit Limits'!C8=99,B47*73333.33/2000,F47*8760/2000)))))))</f>
        <v>#REF!</v>
      </c>
    </row>
    <row r="48" spans="1:10" ht="14.25" customHeight="1" x14ac:dyDescent="0.2">
      <c r="A48" s="3" t="str">
        <f>IF(Combustion!G32=" "," ",Combustion!F32)</f>
        <v>Formaldehyde</v>
      </c>
      <c r="B48" s="45">
        <f>IF(Combustion!G32&gt;0,Combustion!G32," ")</f>
        <v>5.4000000000000003E-3</v>
      </c>
      <c r="C48" s="54" t="str">
        <f>IF(Combustion!G32=" "," ",Combustion!H32)</f>
        <v>E6BTU-Million BTUS</v>
      </c>
      <c r="D48" s="84" t="str">
        <f>IF(Combustion!G32&gt;0,Combustion!I32," ")</f>
        <v>WebFIRE</v>
      </c>
      <c r="E48" s="49"/>
      <c r="F48" s="31" t="e">
        <f>IF(Combustion!G32=" "," ",$D$33*B48)</f>
        <v>#REF!</v>
      </c>
      <c r="G48" s="27"/>
      <c r="H48" s="49"/>
      <c r="I48" s="27" t="str">
        <f>IF(Combustion!G32=" "," ",IF('Permit Limits'!$B$12&gt;0,'Permit Limits'!$B$12," "))</f>
        <v xml:space="preserve"> </v>
      </c>
      <c r="J48" s="50" t="e">
        <f>IF(Combustion!G32=" "," ",IF('Permit Limits'!$C$12&gt;0,'Permit Limits'!$C$12,IF('Permit Limits'!$B$17&gt;0,'Permit Limits'!$B$17*B48/2000,IF('Permit Limits'!$B$19&gt;0,'Permit Limits'!$I$19*B48/2000,IF('Permit Limits'!$B$21&gt;0,IF('Permit Limits'!$B$12&gt;0,('Permit Limits'!$B$12*'Permit Limits'!$B$21/2000),'Permit Limits'!$B$21*$D$33*B48/2000),IF('Permit Limits'!$B$12&gt;0,'Permit Limits'!$B$12*8760/2000,IF('Permit Limits'!C8=99,B48*73333.33/2000,F48*8760/2000)))))))</f>
        <v>#REF!</v>
      </c>
    </row>
    <row r="49" spans="1:10" x14ac:dyDescent="0.2">
      <c r="A49" s="3" t="str">
        <f>IF(Combustion!G33=" "," ",Combustion!F33)</f>
        <v>Toluene</v>
      </c>
      <c r="B49" s="45">
        <f>IF(Combustion!G33&gt;0,Combustion!G33," ")</f>
        <v>5.2300000000000003E-3</v>
      </c>
      <c r="C49" s="54" t="str">
        <f>IF(Combustion!G33=" "," ",Combustion!H33)</f>
        <v>E6BTU-Million BTUS</v>
      </c>
      <c r="D49" s="84" t="str">
        <f>IF(Combustion!G33&gt;0,Combustion!I33," ")</f>
        <v>WebFIRE</v>
      </c>
      <c r="E49" s="49"/>
      <c r="F49" s="31" t="e">
        <f>IF(Combustion!G33=" "," ",$D$33*B49)</f>
        <v>#REF!</v>
      </c>
      <c r="G49" s="27"/>
      <c r="H49" s="49"/>
      <c r="I49" s="27" t="str">
        <f>IF(Combustion!G33=" "," ",IF('Permit Limits'!$B$12&gt;0,'Permit Limits'!$B$12," "))</f>
        <v xml:space="preserve"> </v>
      </c>
      <c r="J49" s="50" t="e">
        <f>IF(Combustion!G33=" "," ",IF('Permit Limits'!$C$12&gt;0,'Permit Limits'!$C$12,IF('Permit Limits'!$B$17&gt;0,'Permit Limits'!$B$17*B49/2000,IF('Permit Limits'!$B$19&gt;0,'Permit Limits'!$I$19*B49/2000,IF('Permit Limits'!$B$21&gt;0,IF('Permit Limits'!$B$12&gt;0,('Permit Limits'!$B$12*'Permit Limits'!$B$21/2000),'Permit Limits'!$B$21*$D$33*B49/2000),IF('Permit Limits'!$B$12&gt;0,'Permit Limits'!$B$12*8760/2000,IF('Permit Limits'!C8=99,B49*73333.33/2000,F49*8760/2000)))))))</f>
        <v>#REF!</v>
      </c>
    </row>
    <row r="50" spans="1:10" x14ac:dyDescent="0.2">
      <c r="A50" s="3" t="str">
        <f>IF(Combustion!G34=" "," ",Combustion!F34)</f>
        <v>Naphthalene</v>
      </c>
      <c r="B50" s="45">
        <f>IF(Combustion!G34&gt;0,Combustion!G34," ")</f>
        <v>1.4E-3</v>
      </c>
      <c r="C50" s="54" t="str">
        <f>IF(Combustion!G34=" "," ",Combustion!H34)</f>
        <v>E6BTU-Million BTUS</v>
      </c>
      <c r="D50" s="84" t="str">
        <f>IF(Combustion!G34&gt;0,Combustion!I34," ")</f>
        <v>WebFIRE</v>
      </c>
      <c r="E50" s="49"/>
      <c r="F50" s="31" t="e">
        <f>IF(Combustion!G34=" "," ",$D$33*B50)</f>
        <v>#REF!</v>
      </c>
      <c r="G50" s="27"/>
      <c r="H50" s="49"/>
      <c r="I50" s="27"/>
      <c r="J50" s="50" t="e">
        <f>IF(Combustion!G34=" "," ",IF('Permit Limits'!$C$12&gt;0,'Permit Limits'!$C$12,IF('Permit Limits'!$B$17&gt;0,'Permit Limits'!$B$17*B50/2000,IF('Permit Limits'!$B$19&gt;0,'Permit Limits'!$I$19*B50/2000,IF('Permit Limits'!$B$21&gt;0,IF('Permit Limits'!$B$12&gt;0,('Permit Limits'!$B$12*'Permit Limits'!$B$21/2000),'Permit Limits'!$B$21*$D$33*B50/2000),IF('Permit Limits'!$B$12&gt;0,'Permit Limits'!$B$12*8760/2000,IF('Permit Limits'!C8=99,B50*73333.33/2000,F50*8760/2000)))))))</f>
        <v>#REF!</v>
      </c>
    </row>
    <row r="51" spans="1:10" x14ac:dyDescent="0.2">
      <c r="A51" s="3" t="str">
        <f>IF(Combustion!G35=" "," ",Combustion!F35)</f>
        <v>Xylene</v>
      </c>
      <c r="B51" s="45">
        <f>IF(Combustion!G35&gt;0,Combustion!G35," ")</f>
        <v>1.2999999999999999E-3</v>
      </c>
      <c r="C51" s="54" t="str">
        <f>IF(Combustion!G35=" "," ",Combustion!H35)</f>
        <v>E6BTU-Million BTUS</v>
      </c>
      <c r="D51" s="84" t="str">
        <f>IF(Combustion!G35&gt;0,Combustion!I35," ")</f>
        <v>WebFIRE</v>
      </c>
      <c r="E51" s="49"/>
      <c r="F51" s="31" t="e">
        <f>IF(Combustion!G35=" "," ",$D$33*B51)</f>
        <v>#REF!</v>
      </c>
      <c r="G51" s="27"/>
      <c r="H51" s="49"/>
      <c r="I51" s="27"/>
      <c r="J51" s="50" t="e">
        <f>IF(Combustion!G35=" "," ",IF('Permit Limits'!$C$12&gt;0,'Permit Limits'!$C$12,IF('Permit Limits'!$B$17&gt;0,'Permit Limits'!$B$17*B51/2000,IF('Permit Limits'!$B$19&gt;0,'Permit Limits'!$I$19*B51/2000,IF('Permit Limits'!$B$21&gt;0,IF('Permit Limits'!$B$12&gt;0,('Permit Limits'!$B$12*'Permit Limits'!$B$21/2000),'Permit Limits'!$B$21*$D$33*B51/2000),IF('Permit Limits'!$B$12&gt;0,'Permit Limits'!$B$12*8760/2000,IF('Permit Limits'!C8=99,B51*73333.33/2000,F51*8760/2000)))))))</f>
        <v>#REF!</v>
      </c>
    </row>
    <row r="52" spans="1:10" x14ac:dyDescent="0.2">
      <c r="A52" s="96" t="s">
        <v>104</v>
      </c>
    </row>
    <row r="53" spans="1:10" x14ac:dyDescent="0.2">
      <c r="A53" s="96"/>
    </row>
  </sheetData>
  <sheetProtection password="DC15" sheet="1"/>
  <mergeCells count="26">
    <mergeCell ref="A3:H3"/>
    <mergeCell ref="A7:C7"/>
    <mergeCell ref="D7:E7"/>
    <mergeCell ref="F7:H7"/>
    <mergeCell ref="A4:C4"/>
    <mergeCell ref="A46:J46"/>
    <mergeCell ref="A31:C31"/>
    <mergeCell ref="A32:C32"/>
    <mergeCell ref="A33:C33"/>
    <mergeCell ref="A20:J20"/>
    <mergeCell ref="A35:J35"/>
    <mergeCell ref="D32:J32"/>
    <mergeCell ref="D31:J31"/>
    <mergeCell ref="A29:H29"/>
    <mergeCell ref="A30:C30"/>
    <mergeCell ref="D30:J30"/>
    <mergeCell ref="D33:E33"/>
    <mergeCell ref="F33:H33"/>
    <mergeCell ref="I33:J33"/>
    <mergeCell ref="A9:J9"/>
    <mergeCell ref="D4:J4"/>
    <mergeCell ref="A5:C5"/>
    <mergeCell ref="D5:J5"/>
    <mergeCell ref="A6:C6"/>
    <mergeCell ref="D6:J6"/>
    <mergeCell ref="I7:J7"/>
  </mergeCells>
  <phoneticPr fontId="5" type="noConversion"/>
  <pageMargins left="0.5" right="0.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="115" zoomScaleNormal="115" workbookViewId="0">
      <selection activeCell="B50" sqref="B50"/>
    </sheetView>
  </sheetViews>
  <sheetFormatPr defaultRowHeight="12.75" x14ac:dyDescent="0.2"/>
  <cols>
    <col min="1" max="1" width="31.5703125" customWidth="1"/>
    <col min="2" max="2" width="32.140625" customWidth="1"/>
    <col min="3" max="3" width="12.140625" customWidth="1"/>
    <col min="4" max="4" width="20.85546875" customWidth="1"/>
    <col min="5" max="5" width="7.140625" customWidth="1"/>
    <col min="6" max="6" width="15.5703125" customWidth="1"/>
  </cols>
  <sheetData>
    <row r="1" spans="1:7" ht="15.75" x14ac:dyDescent="0.25">
      <c r="A1" s="126" t="s">
        <v>128</v>
      </c>
    </row>
    <row r="2" spans="1:7" x14ac:dyDescent="0.2">
      <c r="A2" s="143" t="s">
        <v>127</v>
      </c>
      <c r="B2" s="141"/>
      <c r="C2" s="144"/>
      <c r="D2" s="146"/>
      <c r="E2" s="145"/>
      <c r="F2" s="145"/>
    </row>
    <row r="3" spans="1:7" x14ac:dyDescent="0.2">
      <c r="A3" s="142" t="s">
        <v>129</v>
      </c>
    </row>
    <row r="4" spans="1:7" ht="9.75" customHeight="1" x14ac:dyDescent="0.2"/>
    <row r="5" spans="1:7" ht="15.75" x14ac:dyDescent="0.25">
      <c r="A5" s="147" t="s">
        <v>130</v>
      </c>
      <c r="B5" s="148"/>
      <c r="C5" s="113"/>
      <c r="D5" s="113"/>
      <c r="E5" s="113"/>
      <c r="F5" s="30"/>
    </row>
    <row r="6" spans="1:7" x14ac:dyDescent="0.2">
      <c r="A6" s="156" t="s">
        <v>131</v>
      </c>
      <c r="B6" s="164" t="str">
        <f>Combustion!E10</f>
        <v xml:space="preserve"> </v>
      </c>
      <c r="C6" s="123"/>
      <c r="E6" s="150"/>
      <c r="F6" s="150"/>
      <c r="G6" s="30"/>
    </row>
    <row r="7" spans="1:7" x14ac:dyDescent="0.2">
      <c r="A7" s="157" t="s">
        <v>132</v>
      </c>
      <c r="B7" s="164" t="e">
        <f>Combustion!A12</f>
        <v>#N/A</v>
      </c>
      <c r="C7" s="155"/>
      <c r="E7" s="151"/>
      <c r="F7" s="151"/>
      <c r="G7" s="30"/>
    </row>
    <row r="8" spans="1:7" x14ac:dyDescent="0.2">
      <c r="A8" s="156" t="s">
        <v>133</v>
      </c>
      <c r="B8" s="165">
        <f>Combustion!C10</f>
        <v>0</v>
      </c>
      <c r="C8" s="123"/>
      <c r="E8" s="152"/>
      <c r="F8" s="30"/>
    </row>
    <row r="9" spans="1:7" x14ac:dyDescent="0.2">
      <c r="A9" s="158" t="s">
        <v>134</v>
      </c>
      <c r="B9" s="164" t="str">
        <f>Combustion!D10</f>
        <v>E6BTU-Million BTUS/yr</v>
      </c>
      <c r="C9" s="149"/>
      <c r="E9" s="152"/>
      <c r="F9" s="149"/>
    </row>
    <row r="10" spans="1:7" x14ac:dyDescent="0.2">
      <c r="A10" s="156" t="s">
        <v>135</v>
      </c>
      <c r="B10" s="166" t="e">
        <f>Combustion!A13</f>
        <v>#N/A</v>
      </c>
      <c r="C10" s="123"/>
      <c r="E10" s="153"/>
      <c r="F10" s="153"/>
      <c r="G10" s="94"/>
    </row>
    <row r="11" spans="1:7" x14ac:dyDescent="0.2">
      <c r="A11" s="123"/>
      <c r="B11" s="123"/>
      <c r="C11" s="123"/>
      <c r="D11" s="159"/>
      <c r="E11" s="160"/>
      <c r="F11" s="155"/>
    </row>
    <row r="12" spans="1:7" ht="15" x14ac:dyDescent="0.25">
      <c r="A12" s="147" t="s">
        <v>136</v>
      </c>
      <c r="B12" s="123"/>
      <c r="C12" s="123"/>
      <c r="D12" s="123"/>
      <c r="E12" s="123"/>
      <c r="F12" s="123"/>
    </row>
    <row r="13" spans="1:7" ht="27.75" customHeight="1" x14ac:dyDescent="0.2">
      <c r="A13" s="3" t="s">
        <v>137</v>
      </c>
      <c r="B13" s="3" t="s">
        <v>125</v>
      </c>
      <c r="C13" s="3" t="s">
        <v>144</v>
      </c>
      <c r="D13" s="3" t="s">
        <v>7</v>
      </c>
      <c r="E13" s="3" t="s">
        <v>9</v>
      </c>
      <c r="F13" s="3" t="s">
        <v>145</v>
      </c>
    </row>
    <row r="14" spans="1:7" x14ac:dyDescent="0.2">
      <c r="A14" s="162" t="s">
        <v>138</v>
      </c>
      <c r="B14" s="44" t="str">
        <f>IF(Combustion!G10&gt;0,Combustion!J10," ")</f>
        <v xml:space="preserve"> </v>
      </c>
      <c r="C14" s="43" t="str">
        <f>IF(Combustion!G10&gt;0,Combustion!G10," ")</f>
        <v xml:space="preserve"> </v>
      </c>
      <c r="D14" s="43" t="str">
        <f>IF(Combustion!G10=" "," ",Combustion!H10)</f>
        <v xml:space="preserve"> </v>
      </c>
      <c r="E14" s="107"/>
      <c r="F14" s="114" t="str">
        <f>IF(Combustion!G10=" "," ",$B$8*C14/2000)</f>
        <v xml:space="preserve"> </v>
      </c>
    </row>
    <row r="15" spans="1:7" x14ac:dyDescent="0.2">
      <c r="A15" s="162" t="s">
        <v>139</v>
      </c>
      <c r="B15" s="44" t="str">
        <f>IF(Combustion!G11&gt;0,Combustion!J11," ")</f>
        <v xml:space="preserve"> </v>
      </c>
      <c r="C15" s="43" t="str">
        <f>IF(Combustion!G11&gt;0,Combustion!G11," ")</f>
        <v xml:space="preserve"> </v>
      </c>
      <c r="D15" s="43" t="str">
        <f>IF(Combustion!G11=" "," ",Combustion!H11)</f>
        <v xml:space="preserve"> </v>
      </c>
      <c r="E15" s="107"/>
      <c r="F15" s="114" t="str">
        <f>IF(Combustion!G11=" "," ",$B$8*C15/2000)</f>
        <v xml:space="preserve"> </v>
      </c>
    </row>
    <row r="16" spans="1:7" x14ac:dyDescent="0.2">
      <c r="A16" s="162" t="s">
        <v>140</v>
      </c>
      <c r="B16" s="44" t="str">
        <f>IF(Combustion!G12&gt;0,Combustion!J12," ")</f>
        <v xml:space="preserve"> </v>
      </c>
      <c r="C16" s="43" t="str">
        <f>IF(Combustion!G12&gt;0,Combustion!G12," ")</f>
        <v xml:space="preserve"> </v>
      </c>
      <c r="D16" s="43" t="str">
        <f>IF(Combustion!G12=" "," ",Combustion!H12)</f>
        <v xml:space="preserve"> </v>
      </c>
      <c r="E16" s="47" t="str">
        <f>IF(Combustion!B10="Diesel Fuel Combustion ≤ 600 bhp","",IF(Combustion!B10="","",IF(Combustion!C11&lt;'Permit Limits'!B20,Combustion!C11,IF('Permit Limits'!B20&gt;0,'Permit Limits'!B20,IF(Combustion!C11&gt;0.5,0.5,IF(Combustion!C11&gt;0,Combustion!C11,0.5))))))</f>
        <v/>
      </c>
      <c r="F16" s="114" t="str">
        <f>IF(Combustion!G12=" "," ",IF(Combustion!C11&gt;0,$B$8*E16*C16/2000,B8*C16/2000))</f>
        <v xml:space="preserve"> </v>
      </c>
    </row>
    <row r="17" spans="1:6" x14ac:dyDescent="0.2">
      <c r="A17" s="162" t="s">
        <v>141</v>
      </c>
      <c r="B17" s="44" t="str">
        <f>IF(Combustion!G13&gt;0,Combustion!J13," ")</f>
        <v xml:space="preserve"> </v>
      </c>
      <c r="C17" s="43" t="str">
        <f>IF(Combustion!G13&gt;0,Combustion!G13," ")</f>
        <v xml:space="preserve"> </v>
      </c>
      <c r="D17" s="43" t="str">
        <f>IF(Combustion!G13=" "," ",Combustion!H13)</f>
        <v xml:space="preserve"> </v>
      </c>
      <c r="E17" s="48"/>
      <c r="F17" s="114" t="str">
        <f>IF(Combustion!G13=" "," ",$B$8*C17/2000)</f>
        <v xml:space="preserve"> </v>
      </c>
    </row>
    <row r="18" spans="1:6" ht="13.5" customHeight="1" x14ac:dyDescent="0.2">
      <c r="A18" s="162" t="s">
        <v>142</v>
      </c>
      <c r="B18" s="44" t="str">
        <f>IF(Combustion!G14&gt;0,Combustion!J14," ")</f>
        <v xml:space="preserve"> </v>
      </c>
      <c r="C18" s="43" t="str">
        <f>IF(Combustion!G14&gt;0,Combustion!G14," ")</f>
        <v xml:space="preserve"> </v>
      </c>
      <c r="D18" s="43" t="str">
        <f>IF(Combustion!G14=" "," ",Combustion!H14)</f>
        <v xml:space="preserve"> </v>
      </c>
      <c r="E18" s="48"/>
      <c r="F18" s="114" t="str">
        <f>IF(Combustion!G14=" "," ",$B$8*C18/2000)</f>
        <v xml:space="preserve"> </v>
      </c>
    </row>
    <row r="19" spans="1:6" x14ac:dyDescent="0.2">
      <c r="A19" s="162" t="s">
        <v>143</v>
      </c>
      <c r="B19" s="44" t="str">
        <f>IF(Combustion!G15&gt;0,Combustion!J15," ")</f>
        <v xml:space="preserve"> </v>
      </c>
      <c r="C19" s="43" t="str">
        <f>IF(Combustion!G15&gt;0,Combustion!G15," ")</f>
        <v xml:space="preserve"> </v>
      </c>
      <c r="D19" s="43" t="str">
        <f>IF(Combustion!G15=" "," ",Combustion!H15)</f>
        <v xml:space="preserve"> </v>
      </c>
      <c r="E19" s="48"/>
      <c r="F19" s="114" t="str">
        <f>IF(Combustion!G15=" "," ",$B$8*C19/2000)</f>
        <v xml:space="preserve"> </v>
      </c>
    </row>
    <row r="20" spans="1:6" ht="14.25" customHeight="1" x14ac:dyDescent="0.2">
      <c r="A20" s="162" t="s">
        <v>147</v>
      </c>
      <c r="B20" s="44" t="str">
        <f>IF(Combustion!G16&gt;0,Combustion!J16," ")</f>
        <v xml:space="preserve"> </v>
      </c>
      <c r="C20" s="43" t="str">
        <f>IF(Combustion!G16&gt;0,Combustion!G16," ")</f>
        <v xml:space="preserve"> </v>
      </c>
      <c r="D20" s="43" t="str">
        <f>IF(Combustion!G15=" "," ",Combustion!H15)</f>
        <v xml:space="preserve"> </v>
      </c>
      <c r="E20" s="48"/>
      <c r="F20" s="114" t="str">
        <f>IF(Combustion!G16=" "," ",$B$8*C20/2000)</f>
        <v xml:space="preserve"> </v>
      </c>
    </row>
    <row r="21" spans="1:6" ht="15" customHeight="1" x14ac:dyDescent="0.2">
      <c r="A21" s="162" t="s">
        <v>146</v>
      </c>
      <c r="B21" s="44" t="str">
        <f>IF(Combustion!G17&gt;0,Combustion!J17," ")</f>
        <v xml:space="preserve"> </v>
      </c>
      <c r="C21" s="43" t="str">
        <f>IF(Combustion!G17&gt;0,Combustion!G17," ")</f>
        <v xml:space="preserve"> </v>
      </c>
      <c r="D21" s="43" t="str">
        <f>IF(Combustion!G16=" "," ",Combustion!H16)</f>
        <v xml:space="preserve"> </v>
      </c>
      <c r="E21" s="48"/>
      <c r="F21" s="114" t="str">
        <f>IF(Combustion!G17=" "," ",$B$8*C21/2000)</f>
        <v xml:space="preserve"> </v>
      </c>
    </row>
    <row r="22" spans="1:6" ht="15" customHeight="1" x14ac:dyDescent="0.2">
      <c r="A22" s="162" t="s">
        <v>148</v>
      </c>
      <c r="B22" s="44" t="str">
        <f>IF(Combustion!G18&gt;0,Combustion!J18," ")</f>
        <v xml:space="preserve"> </v>
      </c>
      <c r="C22" s="43" t="str">
        <f>IF(Combustion!G18&gt;0,Combustion!G18," ")</f>
        <v xml:space="preserve"> </v>
      </c>
      <c r="D22" s="43" t="str">
        <f>IF(Combustion!G17=" "," ",Combustion!H17)</f>
        <v xml:space="preserve"> </v>
      </c>
      <c r="E22" s="48"/>
      <c r="F22" s="114" t="str">
        <f>IF(Combustion!G18=" "," ",$B$8*C22/2000)</f>
        <v xml:space="preserve"> </v>
      </c>
    </row>
    <row r="23" spans="1:6" ht="15.75" customHeight="1" x14ac:dyDescent="0.2">
      <c r="A23" s="162" t="s">
        <v>149</v>
      </c>
      <c r="B23" s="44" t="str">
        <f>IF(Combustion!G19&gt;0,Combustion!J19," ")</f>
        <v xml:space="preserve"> </v>
      </c>
      <c r="C23" s="43" t="str">
        <f>IF(Combustion!G19&gt;0,Combustion!G19," ")</f>
        <v xml:space="preserve"> </v>
      </c>
      <c r="D23" s="43" t="str">
        <f>IF(Combustion!G18=" "," ",Combustion!H18)</f>
        <v xml:space="preserve"> </v>
      </c>
      <c r="E23" s="48"/>
      <c r="F23" s="114" t="str">
        <f>IF(Combustion!G19=" "," ",$B$8*C23/2000)</f>
        <v xml:space="preserve"> </v>
      </c>
    </row>
    <row r="24" spans="1:6" x14ac:dyDescent="0.2">
      <c r="A24" s="162" t="s">
        <v>150</v>
      </c>
      <c r="B24" s="44" t="str">
        <f>IF(Combustion!G20&gt;0,Combustion!J20," ")</f>
        <v xml:space="preserve"> </v>
      </c>
      <c r="C24" s="43" t="str">
        <f>IF(Combustion!G20&gt;0,Combustion!G20," ")</f>
        <v xml:space="preserve"> </v>
      </c>
      <c r="D24" s="43" t="str">
        <f>IF(Combustion!G19=" "," ",Combustion!H19)</f>
        <v xml:space="preserve"> </v>
      </c>
      <c r="E24" s="48"/>
      <c r="F24" s="114" t="str">
        <f>IF(Combustion!G20=" "," ",$B$8*C24/2000)</f>
        <v xml:space="preserve"> </v>
      </c>
    </row>
    <row r="25" spans="1:6" ht="15.75" customHeight="1" x14ac:dyDescent="0.2">
      <c r="A25" s="162" t="s">
        <v>151</v>
      </c>
      <c r="B25" s="44" t="str">
        <f>IF(Combustion!G21&gt;0,Combustion!J21," ")</f>
        <v xml:space="preserve"> </v>
      </c>
      <c r="C25" s="43" t="str">
        <f>IF(Combustion!G21&gt;0,Combustion!G21," ")</f>
        <v xml:space="preserve"> </v>
      </c>
      <c r="D25" s="43" t="str">
        <f>IF(Combustion!G20=" "," ",Combustion!H20)</f>
        <v xml:space="preserve"> </v>
      </c>
      <c r="E25" s="48"/>
      <c r="F25" s="114" t="str">
        <f>IF(Combustion!G21=" "," ",$B$8*C25/2000)</f>
        <v xml:space="preserve"> </v>
      </c>
    </row>
    <row r="26" spans="1:6" ht="12.75" customHeight="1" x14ac:dyDescent="0.2">
      <c r="A26" s="162" t="s">
        <v>152</v>
      </c>
      <c r="B26" s="44" t="str">
        <f>IF(Combustion!G22&gt;0,Combustion!J22," ")</f>
        <v xml:space="preserve"> </v>
      </c>
      <c r="C26" s="43" t="str">
        <f>IF(Combustion!G22&gt;0,Combustion!G22," ")</f>
        <v xml:space="preserve"> </v>
      </c>
      <c r="D26" s="43" t="str">
        <f>IF(Combustion!G21=" "," ",Combustion!H21)</f>
        <v xml:space="preserve"> </v>
      </c>
      <c r="E26" s="48"/>
      <c r="F26" s="114" t="str">
        <f>IF(Combustion!G22=" "," ",$B$8*C26/2000)</f>
        <v xml:space="preserve"> </v>
      </c>
    </row>
    <row r="29" spans="1:6" ht="15.75" x14ac:dyDescent="0.25">
      <c r="A29" s="147" t="s">
        <v>130</v>
      </c>
      <c r="B29" s="113"/>
      <c r="C29" s="113"/>
      <c r="D29" s="113"/>
      <c r="E29" s="113"/>
      <c r="F29" s="30"/>
    </row>
    <row r="30" spans="1:6" x14ac:dyDescent="0.2">
      <c r="A30" s="156" t="s">
        <v>131</v>
      </c>
      <c r="B30" s="164">
        <f>Combustion!E25</f>
        <v>20200402</v>
      </c>
      <c r="C30" s="123"/>
      <c r="E30" s="150"/>
      <c r="F30" s="150"/>
    </row>
    <row r="31" spans="1:6" x14ac:dyDescent="0.2">
      <c r="A31" s="157" t="s">
        <v>132</v>
      </c>
      <c r="B31" s="164" t="str">
        <f>Combustion!B25</f>
        <v xml:space="preserve">Dual Fuel Combustion </v>
      </c>
      <c r="C31" s="155"/>
      <c r="E31" s="150"/>
      <c r="F31" s="150"/>
    </row>
    <row r="32" spans="1:6" x14ac:dyDescent="0.2">
      <c r="A32" s="156" t="s">
        <v>133</v>
      </c>
      <c r="B32" s="165">
        <f>Combustion!C25</f>
        <v>0</v>
      </c>
      <c r="C32" s="123"/>
      <c r="E32" s="163"/>
      <c r="F32" s="149"/>
    </row>
    <row r="33" spans="1:6" x14ac:dyDescent="0.2">
      <c r="A33" s="158" t="s">
        <v>134</v>
      </c>
      <c r="B33" s="167" t="str">
        <f>Combustion!D25</f>
        <v>E6BTU-Million BTUS/yr</v>
      </c>
      <c r="C33" s="123"/>
      <c r="E33" s="163"/>
      <c r="F33" s="149"/>
    </row>
    <row r="34" spans="1:6" x14ac:dyDescent="0.2">
      <c r="A34" s="156" t="s">
        <v>135</v>
      </c>
      <c r="B34" s="168" t="str">
        <f>Combustion!A29</f>
        <v>Dual Fuel (95% Natural Gas, 5% Diesel Fuel)</v>
      </c>
      <c r="C34" s="123"/>
      <c r="E34" s="154"/>
      <c r="F34" s="154"/>
    </row>
    <row r="35" spans="1:6" x14ac:dyDescent="0.2">
      <c r="A35" s="122"/>
      <c r="B35" s="123"/>
      <c r="C35" s="123"/>
      <c r="D35" s="159"/>
      <c r="E35" s="160"/>
      <c r="F35" s="155"/>
    </row>
    <row r="36" spans="1:6" ht="15" x14ac:dyDescent="0.25">
      <c r="A36" s="169" t="s">
        <v>136</v>
      </c>
      <c r="B36" s="116"/>
      <c r="C36" s="116"/>
      <c r="D36" s="116"/>
      <c r="E36" s="116"/>
      <c r="F36" s="116"/>
    </row>
    <row r="37" spans="1:6" ht="26.25" customHeight="1" x14ac:dyDescent="0.2">
      <c r="A37" s="161" t="s">
        <v>137</v>
      </c>
      <c r="B37" s="3" t="s">
        <v>125</v>
      </c>
      <c r="C37" s="3" t="s">
        <v>144</v>
      </c>
      <c r="D37" s="3" t="s">
        <v>7</v>
      </c>
      <c r="E37" s="3" t="s">
        <v>9</v>
      </c>
      <c r="F37" s="3" t="s">
        <v>145</v>
      </c>
    </row>
    <row r="38" spans="1:6" x14ac:dyDescent="0.2">
      <c r="A38" s="162" t="s">
        <v>138</v>
      </c>
      <c r="B38" s="44" t="str">
        <f>IF(Combustion!G25&gt;0,Combustion!J25," ")</f>
        <v>28-USEPA EF (pre-control)</v>
      </c>
      <c r="C38" s="115">
        <f>IF(Combustion!G25&gt;0,Combustion!G25," ")</f>
        <v>5.5599999999999997E-2</v>
      </c>
      <c r="D38" s="28" t="str">
        <f>IF(Combustion!G25=" "," ",Combustion!H25)</f>
        <v>E6BTU-Million BTUS</v>
      </c>
      <c r="E38" s="107"/>
      <c r="F38" s="114">
        <f>IF(Combustion!G25=" "," ",$B$32*C38/2000)</f>
        <v>0</v>
      </c>
    </row>
    <row r="39" spans="1:6" x14ac:dyDescent="0.2">
      <c r="A39" s="162" t="s">
        <v>139</v>
      </c>
      <c r="B39" s="44" t="str">
        <f>IF(Combustion!G26&gt;0,Combustion!J26," ")</f>
        <v>28-USEPA EF (pre-control)</v>
      </c>
      <c r="C39" s="115">
        <f>IF(Combustion!G26&gt;0,Combustion!G26," ")</f>
        <v>5.7299999999999997E-2</v>
      </c>
      <c r="D39" s="28" t="str">
        <f>IF(Combustion!G26=" "," ",Combustion!H26)</f>
        <v>E6BTU-Million BTUS</v>
      </c>
      <c r="E39" s="107"/>
      <c r="F39" s="114">
        <f>IF(Combustion!G26=" "," ",$B$32*C39/2000)</f>
        <v>0</v>
      </c>
    </row>
    <row r="40" spans="1:6" x14ac:dyDescent="0.2">
      <c r="A40" s="162" t="s">
        <v>140</v>
      </c>
      <c r="B40" s="44" t="str">
        <f>IF(Combustion!G27&gt;0,Combustion!J27," ")</f>
        <v>28-USEPA EF (pre-control)</v>
      </c>
      <c r="C40" s="115">
        <f>IF(Combustion!G27&gt;0,Combustion!G27," ")</f>
        <v>0.05</v>
      </c>
      <c r="D40" s="28" t="str">
        <f>IF(Combustion!G27=" "," ",Combustion!H27)</f>
        <v>E6BTU-Million BTUS</v>
      </c>
      <c r="E40" s="47">
        <f>IF(Combustion!B10="Diesel Fuel Combustion ≤ 600 bhp","",IF(Combustion!C26&lt;'Permit Limits'!B20,Combustion!C26,IF('Permit Limits'!B20&gt;0,'Permit Limits'!B20,IF(Combustion!C26&gt;0.5,0.5,IF(Combustion!C26&gt;0,Combustion!C26,0.5)))))</f>
        <v>0.5</v>
      </c>
      <c r="F40" s="114">
        <f>IF(Combustion!G27=" "," ",IF(Combustion!C11&gt;0,$B$8*E40*C40/2000,B32*C40/2000))</f>
        <v>0</v>
      </c>
    </row>
    <row r="41" spans="1:6" x14ac:dyDescent="0.2">
      <c r="A41" s="162" t="s">
        <v>141</v>
      </c>
      <c r="B41" s="44" t="str">
        <f>IF(Combustion!G28&gt;0,Combustion!J28," ")</f>
        <v>28-USEPA EF (pre-control)</v>
      </c>
      <c r="C41" s="115">
        <f>IF(Combustion!G28&gt;0,Combustion!G28," ")</f>
        <v>2.7</v>
      </c>
      <c r="D41" s="28" t="str">
        <f>IF(Combustion!G28=" "," ",Combustion!H28)</f>
        <v>E6BTU-Million BTUS</v>
      </c>
      <c r="E41" s="48"/>
      <c r="F41" s="114">
        <f>IF(Combustion!G28=" "," ",$B$32*C41/2000)</f>
        <v>0</v>
      </c>
    </row>
    <row r="42" spans="1:6" x14ac:dyDescent="0.2">
      <c r="A42" s="162" t="s">
        <v>142</v>
      </c>
      <c r="B42" s="44" t="str">
        <f>IF(Combustion!G29&gt;0,Combustion!J29," ")</f>
        <v>28-USEPA EF (pre-control)</v>
      </c>
      <c r="C42" s="115">
        <f>IF(Combustion!G29&gt;0,Combustion!G29," ")</f>
        <v>0.2</v>
      </c>
      <c r="D42" s="28" t="str">
        <f>IF(Combustion!G29=" "," ",Combustion!H29)</f>
        <v>E6BTU-Million BTUS</v>
      </c>
      <c r="E42" s="48"/>
      <c r="F42" s="114">
        <f>IF(Combustion!G29=" "," ",$B$32*C42/2000)</f>
        <v>0</v>
      </c>
    </row>
    <row r="43" spans="1:6" x14ac:dyDescent="0.2">
      <c r="A43" s="162" t="s">
        <v>143</v>
      </c>
      <c r="B43" s="44" t="str">
        <f>IF(Combustion!G30&gt;0,Combustion!J30," ")</f>
        <v>28-USEPA EF (pre-control)</v>
      </c>
      <c r="C43" s="115">
        <f>IF(Combustion!G30&gt;0,Combustion!G30," ")</f>
        <v>1.1599999999999999</v>
      </c>
      <c r="D43" s="28" t="str">
        <f>IF(Combustion!G30=" "," ",Combustion!H30)</f>
        <v>E6BTU-Million BTUS</v>
      </c>
      <c r="E43" s="48"/>
      <c r="F43" s="114">
        <f>IF(Combustion!G30=" "," ",$B$32*C43/2000)</f>
        <v>0</v>
      </c>
    </row>
    <row r="44" spans="1:6" x14ac:dyDescent="0.2">
      <c r="A44" s="162" t="s">
        <v>147</v>
      </c>
      <c r="B44" s="44" t="str">
        <f>IF(Combustion!G31&gt;0,Combustion!J31," ")</f>
        <v>28-USEPA EF (pre-control)</v>
      </c>
      <c r="C44" s="115">
        <f>IF(Combustion!G31&gt;0,Combustion!G31," ")</f>
        <v>4.45E-3</v>
      </c>
      <c r="D44" s="28" t="str">
        <f>IF(Combustion!G31=" "," ",Combustion!H31)</f>
        <v>E6BTU-Million BTUS</v>
      </c>
      <c r="E44" s="48"/>
      <c r="F44" s="114">
        <f>IF(Combustion!G31=" "," ",$B$32*C44/2000)</f>
        <v>0</v>
      </c>
    </row>
    <row r="45" spans="1:6" ht="14.25" customHeight="1" x14ac:dyDescent="0.2">
      <c r="A45" s="162" t="s">
        <v>146</v>
      </c>
      <c r="B45" s="44" t="str">
        <f>IF(Combustion!G32&gt;0,Combustion!J32," ")</f>
        <v>28-USEPA EF (pre-control)</v>
      </c>
      <c r="C45" s="115">
        <f>IF(Combustion!G32&gt;0,Combustion!G32," ")</f>
        <v>5.4000000000000003E-3</v>
      </c>
      <c r="D45" s="28" t="str">
        <f>IF(Combustion!G32=" "," ",Combustion!H32)</f>
        <v>E6BTU-Million BTUS</v>
      </c>
      <c r="E45" s="48"/>
      <c r="F45" s="114">
        <f>IF(Combustion!G32=" "," ",$B$32*C45/2000)</f>
        <v>0</v>
      </c>
    </row>
    <row r="46" spans="1:6" x14ac:dyDescent="0.2">
      <c r="A46" s="162" t="s">
        <v>148</v>
      </c>
      <c r="B46" s="44" t="str">
        <f>IF(Combustion!G33&gt;0,Combustion!J33," ")</f>
        <v>28-USEPA EF (pre-control)</v>
      </c>
      <c r="C46" s="115">
        <f>IF(Combustion!G33&gt;0,Combustion!G33," ")</f>
        <v>5.2300000000000003E-3</v>
      </c>
      <c r="D46" s="28" t="str">
        <f>IF(Combustion!G33=" "," ",Combustion!H33)</f>
        <v>E6BTU-Million BTUS</v>
      </c>
      <c r="E46" s="48"/>
      <c r="F46" s="114">
        <f>IF(Combustion!G33=" "," ",$B$32*C46/2000)</f>
        <v>0</v>
      </c>
    </row>
    <row r="47" spans="1:6" x14ac:dyDescent="0.2">
      <c r="A47" s="162" t="s">
        <v>149</v>
      </c>
      <c r="B47" s="44" t="str">
        <f>IF(Combustion!G34&gt;0,Combustion!J34," ")</f>
        <v>28-USEPA EF (pre-control)</v>
      </c>
      <c r="C47" s="115">
        <f>IF(Combustion!G34&gt;0,Combustion!G34," ")</f>
        <v>1.4E-3</v>
      </c>
      <c r="D47" s="28" t="str">
        <f>IF(Combustion!G34=" "," ",Combustion!H34)</f>
        <v>E6BTU-Million BTUS</v>
      </c>
      <c r="E47" s="48"/>
      <c r="F47" s="114">
        <f>IF(Combustion!G34=" "," ",$B$32*C47/2000)</f>
        <v>0</v>
      </c>
    </row>
    <row r="48" spans="1:6" x14ac:dyDescent="0.2">
      <c r="A48" s="162" t="s">
        <v>150</v>
      </c>
      <c r="B48" s="44" t="str">
        <f>IF(Combustion!G35&gt;0,Combustion!J35," ")</f>
        <v>28-USEPA EF (pre-control)</v>
      </c>
      <c r="C48" s="115">
        <f>IF(Combustion!G35&gt;0,Combustion!G35," ")</f>
        <v>1.2999999999999999E-3</v>
      </c>
      <c r="D48" s="28" t="str">
        <f>IF(Combustion!G35=" "," ",Combustion!H35)</f>
        <v>E6BTU-Million BTUS</v>
      </c>
      <c r="E48" s="48"/>
      <c r="F48" s="114">
        <f>IF(Combustion!G35=" "," ",$B$32*C48/2000)</f>
        <v>0</v>
      </c>
    </row>
  </sheetData>
  <sheetProtection algorithmName="SHA-512" hashValue="x9D18K0QkD0AlDBrvhi7SLxDMlEvUcMmcu6OkfgkOMffUslPSlYcmjT0Y2uH84SYYiuqHDom2Sn+fYsp3sj34g==" saltValue="enaRZ6PRD5NohxbCupPAvA==" spinCount="100000" sheet="1"/>
  <phoneticPr fontId="5" type="noConversion"/>
  <pageMargins left="0.75" right="0.5" top="0.75" bottom="0.75" header="0.5" footer="0.5"/>
  <pageSetup orientation="landscape" verticalDpi="300" r:id="rId1"/>
  <headerFooter alignWithMargins="0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2"/>
  <sheetViews>
    <sheetView workbookViewId="0">
      <pane xSplit="1" topLeftCell="R1" activePane="topRight" state="frozen"/>
      <selection pane="topRight" activeCell="AP5" sqref="AP5"/>
    </sheetView>
  </sheetViews>
  <sheetFormatPr defaultRowHeight="12.75" x14ac:dyDescent="0.2"/>
  <cols>
    <col min="1" max="1" width="33.42578125" style="38" bestFit="1" customWidth="1"/>
    <col min="2" max="2" width="28.140625" style="38" customWidth="1"/>
    <col min="3" max="3" width="35.42578125" style="38" bestFit="1" customWidth="1"/>
    <col min="4" max="4" width="17.7109375" style="38" bestFit="1" customWidth="1"/>
    <col min="5" max="5" width="18.7109375" style="38" bestFit="1" customWidth="1"/>
    <col min="6" max="7" width="9.28515625" style="12" customWidth="1"/>
    <col min="8" max="8" width="19.7109375" style="12" bestFit="1" customWidth="1"/>
    <col min="9" max="9" width="9.28515625" style="12" customWidth="1"/>
    <col min="10" max="10" width="16" style="12" bestFit="1" customWidth="1"/>
    <col min="11" max="11" width="19.7109375" style="12" bestFit="1" customWidth="1"/>
    <col min="12" max="12" width="9.28515625" style="12" customWidth="1"/>
    <col min="13" max="13" width="16" style="12" bestFit="1" customWidth="1"/>
    <col min="14" max="14" width="19.7109375" style="12" bestFit="1" customWidth="1"/>
    <col min="15" max="15" width="9.28515625" style="12" customWidth="1"/>
    <col min="16" max="16" width="16" style="12" bestFit="1" customWidth="1"/>
    <col min="17" max="17" width="19.7109375" style="12" bestFit="1" customWidth="1"/>
    <col min="18" max="18" width="9.28515625" style="12" customWidth="1"/>
    <col min="19" max="19" width="26.42578125" style="12" bestFit="1" customWidth="1"/>
    <col min="20" max="20" width="19.7109375" style="12" bestFit="1" customWidth="1"/>
    <col min="21" max="21" width="9.28515625" style="12" customWidth="1"/>
    <col min="22" max="22" width="16" style="12" bestFit="1" customWidth="1"/>
    <col min="23" max="23" width="19.7109375" style="12" bestFit="1" customWidth="1"/>
    <col min="24" max="24" width="9.28515625" style="12" customWidth="1"/>
    <col min="25" max="25" width="16" style="12" bestFit="1" customWidth="1"/>
    <col min="26" max="26" width="19.7109375" style="12" bestFit="1" customWidth="1"/>
    <col min="27" max="27" width="14.28515625" style="12" bestFit="1" customWidth="1"/>
    <col min="28" max="28" width="16" style="12" bestFit="1" customWidth="1"/>
    <col min="29" max="29" width="19.7109375" style="12" bestFit="1" customWidth="1"/>
    <col min="30" max="30" width="8.5703125" style="12" bestFit="1" customWidth="1"/>
    <col min="31" max="31" width="16" style="12" bestFit="1" customWidth="1"/>
    <col min="32" max="32" width="19.7109375" style="12" bestFit="1" customWidth="1"/>
    <col min="33" max="33" width="12.5703125" style="12" bestFit="1" customWidth="1"/>
    <col min="34" max="34" width="16" style="12" bestFit="1" customWidth="1"/>
    <col min="35" max="35" width="19.7109375" style="12" bestFit="1" customWidth="1"/>
    <col min="36" max="37" width="16" style="12" customWidth="1"/>
    <col min="38" max="38" width="19.7109375" style="12" bestFit="1" customWidth="1"/>
    <col min="39" max="40" width="16" style="12" customWidth="1"/>
    <col min="41" max="41" width="19.7109375" style="12" bestFit="1" customWidth="1"/>
    <col min="42" max="43" width="16" style="12" customWidth="1"/>
    <col min="44" max="44" width="19.7109375" style="12" bestFit="1" customWidth="1"/>
    <col min="45" max="16384" width="9.140625" style="12"/>
  </cols>
  <sheetData>
    <row r="1" spans="1:45" s="16" customFormat="1" x14ac:dyDescent="0.2">
      <c r="A1" s="62" t="s">
        <v>47</v>
      </c>
      <c r="B1" s="62" t="s">
        <v>48</v>
      </c>
      <c r="C1" s="62" t="s">
        <v>49</v>
      </c>
      <c r="D1" s="62" t="s">
        <v>50</v>
      </c>
      <c r="E1" s="62" t="s">
        <v>63</v>
      </c>
      <c r="F1" s="62" t="s">
        <v>51</v>
      </c>
      <c r="G1" s="62" t="s">
        <v>52</v>
      </c>
      <c r="H1" s="62" t="s">
        <v>121</v>
      </c>
      <c r="I1" s="62" t="s">
        <v>53</v>
      </c>
      <c r="J1" s="62" t="s">
        <v>52</v>
      </c>
      <c r="K1" s="62" t="s">
        <v>121</v>
      </c>
      <c r="L1" s="62" t="s">
        <v>17</v>
      </c>
      <c r="M1" s="62" t="s">
        <v>52</v>
      </c>
      <c r="N1" s="62" t="s">
        <v>121</v>
      </c>
      <c r="O1" s="62" t="s">
        <v>54</v>
      </c>
      <c r="P1" s="62" t="s">
        <v>52</v>
      </c>
      <c r="Q1" s="62" t="s">
        <v>121</v>
      </c>
      <c r="R1" s="62" t="s">
        <v>55</v>
      </c>
      <c r="S1" s="62" t="s">
        <v>52</v>
      </c>
      <c r="T1" s="62" t="s">
        <v>121</v>
      </c>
      <c r="U1" s="62" t="s">
        <v>20</v>
      </c>
      <c r="V1" s="62" t="s">
        <v>52</v>
      </c>
      <c r="W1" s="62" t="s">
        <v>121</v>
      </c>
      <c r="X1" s="62" t="s">
        <v>79</v>
      </c>
      <c r="Y1" s="62" t="s">
        <v>52</v>
      </c>
      <c r="Z1" s="62" t="s">
        <v>121</v>
      </c>
      <c r="AA1" s="62" t="s">
        <v>76</v>
      </c>
      <c r="AB1" s="62" t="s">
        <v>52</v>
      </c>
      <c r="AC1" s="62" t="s">
        <v>121</v>
      </c>
      <c r="AD1" s="62" t="s">
        <v>80</v>
      </c>
      <c r="AE1" s="62" t="s">
        <v>52</v>
      </c>
      <c r="AF1" s="62" t="s">
        <v>121</v>
      </c>
      <c r="AG1" s="62" t="s">
        <v>100</v>
      </c>
      <c r="AH1" s="62" t="s">
        <v>52</v>
      </c>
      <c r="AI1" s="62" t="s">
        <v>121</v>
      </c>
      <c r="AJ1" s="62" t="s">
        <v>102</v>
      </c>
      <c r="AK1" s="62" t="s">
        <v>52</v>
      </c>
      <c r="AL1" s="62" t="s">
        <v>121</v>
      </c>
      <c r="AM1" s="62" t="s">
        <v>105</v>
      </c>
      <c r="AN1" s="62" t="s">
        <v>52</v>
      </c>
      <c r="AO1" s="62" t="s">
        <v>121</v>
      </c>
      <c r="AP1" s="62" t="s">
        <v>106</v>
      </c>
      <c r="AQ1" s="62" t="s">
        <v>52</v>
      </c>
      <c r="AR1" s="62" t="s">
        <v>121</v>
      </c>
      <c r="AS1" s="62" t="s">
        <v>56</v>
      </c>
    </row>
    <row r="2" spans="1:45" x14ac:dyDescent="0.2">
      <c r="A2" s="59" t="s">
        <v>116</v>
      </c>
      <c r="B2" s="59" t="s">
        <v>60</v>
      </c>
      <c r="C2" s="38" t="s">
        <v>58</v>
      </c>
      <c r="D2" s="38" t="s">
        <v>120</v>
      </c>
      <c r="E2" s="38" t="s">
        <v>120</v>
      </c>
      <c r="F2" s="63">
        <v>0.05</v>
      </c>
      <c r="G2" s="16" t="s">
        <v>59</v>
      </c>
      <c r="H2" s="127" t="s">
        <v>122</v>
      </c>
      <c r="I2" s="63">
        <v>0.14000000000000001</v>
      </c>
      <c r="J2" s="16" t="s">
        <v>61</v>
      </c>
      <c r="K2" s="127" t="s">
        <v>123</v>
      </c>
      <c r="L2" s="63">
        <v>1.01</v>
      </c>
      <c r="M2" s="16" t="s">
        <v>78</v>
      </c>
      <c r="N2" s="127" t="s">
        <v>122</v>
      </c>
      <c r="O2" s="63">
        <v>3.2</v>
      </c>
      <c r="P2" s="16" t="s">
        <v>78</v>
      </c>
      <c r="Q2" s="127" t="s">
        <v>122</v>
      </c>
      <c r="R2" s="63">
        <v>8.1900000000000001E-2</v>
      </c>
      <c r="S2" s="16" t="s">
        <v>110</v>
      </c>
      <c r="T2" s="127" t="s">
        <v>122</v>
      </c>
      <c r="U2" s="63">
        <v>0.85</v>
      </c>
      <c r="V2" s="64" t="s">
        <v>78</v>
      </c>
      <c r="W2" s="127" t="s">
        <v>122</v>
      </c>
      <c r="X2" s="75">
        <v>7.76E-4</v>
      </c>
      <c r="Y2" s="73" t="s">
        <v>103</v>
      </c>
      <c r="Z2" s="127" t="s">
        <v>122</v>
      </c>
      <c r="AA2" s="77">
        <v>7.8899999999999993E-5</v>
      </c>
      <c r="AB2" s="76" t="s">
        <v>103</v>
      </c>
      <c r="AC2" s="127" t="s">
        <v>122</v>
      </c>
      <c r="AD2" s="75">
        <v>2.81E-4</v>
      </c>
      <c r="AE2" s="76" t="s">
        <v>103</v>
      </c>
      <c r="AF2" s="127" t="s">
        <v>122</v>
      </c>
      <c r="AG2" s="16">
        <v>1.2999999999999999E-4</v>
      </c>
      <c r="AH2" s="73" t="s">
        <v>101</v>
      </c>
      <c r="AI2" s="127" t="s">
        <v>122</v>
      </c>
      <c r="AJ2" s="73">
        <v>1.93E-4</v>
      </c>
      <c r="AK2" s="73" t="s">
        <v>103</v>
      </c>
      <c r="AL2" s="127" t="s">
        <v>122</v>
      </c>
      <c r="AM2" s="73">
        <v>2.5199999999999999E-5</v>
      </c>
      <c r="AN2" s="73" t="s">
        <v>103</v>
      </c>
      <c r="AO2" s="127" t="s">
        <v>122</v>
      </c>
      <c r="AP2" s="73">
        <v>7.8800000000000008E-6</v>
      </c>
      <c r="AQ2" s="73" t="s">
        <v>103</v>
      </c>
      <c r="AR2" s="127" t="s">
        <v>122</v>
      </c>
      <c r="AS2" s="12">
        <v>20200401</v>
      </c>
    </row>
    <row r="3" spans="1:45" x14ac:dyDescent="0.2">
      <c r="A3" s="59" t="s">
        <v>117</v>
      </c>
      <c r="B3" s="59" t="s">
        <v>57</v>
      </c>
      <c r="C3" s="38" t="s">
        <v>58</v>
      </c>
      <c r="D3" s="38" t="s">
        <v>120</v>
      </c>
      <c r="E3" s="38" t="s">
        <v>120</v>
      </c>
      <c r="F3" s="63">
        <v>0.31</v>
      </c>
      <c r="G3" s="16" t="s">
        <v>59</v>
      </c>
      <c r="H3" s="127" t="s">
        <v>122</v>
      </c>
      <c r="I3" s="63">
        <v>0.31</v>
      </c>
      <c r="J3" s="16" t="s">
        <v>77</v>
      </c>
      <c r="K3" s="127" t="s">
        <v>122</v>
      </c>
      <c r="L3" s="63">
        <v>0.28999999999999998</v>
      </c>
      <c r="M3" s="16" t="s">
        <v>77</v>
      </c>
      <c r="N3" s="127" t="s">
        <v>122</v>
      </c>
      <c r="O3" s="63">
        <v>4.41</v>
      </c>
      <c r="P3" s="16" t="s">
        <v>77</v>
      </c>
      <c r="Q3" s="127" t="s">
        <v>122</v>
      </c>
      <c r="R3" s="63">
        <v>0.35</v>
      </c>
      <c r="S3" s="73" t="s">
        <v>77</v>
      </c>
      <c r="T3" s="127" t="s">
        <v>122</v>
      </c>
      <c r="U3" s="63">
        <v>0.95</v>
      </c>
      <c r="V3" s="64" t="s">
        <v>77</v>
      </c>
      <c r="W3" s="127" t="s">
        <v>122</v>
      </c>
      <c r="X3" s="75">
        <v>9.3300000000000002E-4</v>
      </c>
      <c r="Y3" s="76" t="s">
        <v>84</v>
      </c>
      <c r="Z3" s="127" t="s">
        <v>122</v>
      </c>
      <c r="AA3" s="63">
        <v>1.1800000000000001E-3</v>
      </c>
      <c r="AB3" s="76" t="s">
        <v>84</v>
      </c>
      <c r="AC3" s="127" t="s">
        <v>122</v>
      </c>
      <c r="AD3" s="75">
        <v>4.0900000000000002E-4</v>
      </c>
      <c r="AE3" s="76" t="s">
        <v>84</v>
      </c>
      <c r="AF3" s="127" t="s">
        <v>122</v>
      </c>
      <c r="AG3" s="16">
        <v>8.4800000000000001E-5</v>
      </c>
      <c r="AH3" s="73" t="s">
        <v>84</v>
      </c>
      <c r="AI3" s="127" t="s">
        <v>122</v>
      </c>
      <c r="AJ3" s="73">
        <v>2.8499999999999999E-4</v>
      </c>
      <c r="AK3" s="73" t="s">
        <v>84</v>
      </c>
      <c r="AL3" s="127" t="s">
        <v>122</v>
      </c>
      <c r="AM3" s="73">
        <v>7.67E-4</v>
      </c>
      <c r="AN3" s="73" t="s">
        <v>84</v>
      </c>
      <c r="AO3" s="127" t="s">
        <v>122</v>
      </c>
      <c r="AP3" s="16">
        <v>9.2499999999999999E-5</v>
      </c>
      <c r="AQ3" s="73" t="s">
        <v>84</v>
      </c>
      <c r="AR3" s="127" t="s">
        <v>122</v>
      </c>
      <c r="AS3" s="12">
        <v>20200102</v>
      </c>
    </row>
    <row r="4" spans="1:45" x14ac:dyDescent="0.2">
      <c r="A4" s="59" t="s">
        <v>81</v>
      </c>
      <c r="B4" s="59" t="s">
        <v>81</v>
      </c>
      <c r="C4" s="38" t="s">
        <v>82</v>
      </c>
      <c r="D4" s="38" t="s">
        <v>120</v>
      </c>
      <c r="E4" s="38" t="s">
        <v>120</v>
      </c>
      <c r="F4" s="80">
        <v>5.5599999999999997E-2</v>
      </c>
      <c r="G4" s="73" t="s">
        <v>59</v>
      </c>
      <c r="H4" s="127" t="s">
        <v>122</v>
      </c>
      <c r="I4" s="80">
        <v>5.7299999999999997E-2</v>
      </c>
      <c r="J4" s="73" t="s">
        <v>59</v>
      </c>
      <c r="K4" s="127" t="s">
        <v>122</v>
      </c>
      <c r="L4" s="63">
        <v>0.05</v>
      </c>
      <c r="M4" s="73" t="s">
        <v>78</v>
      </c>
      <c r="N4" s="127" t="s">
        <v>122</v>
      </c>
      <c r="O4" s="63">
        <v>2.7</v>
      </c>
      <c r="P4" s="16" t="s">
        <v>78</v>
      </c>
      <c r="Q4" s="127" t="s">
        <v>122</v>
      </c>
      <c r="R4" s="63">
        <v>0.2</v>
      </c>
      <c r="S4" s="73" t="s">
        <v>78</v>
      </c>
      <c r="T4" s="127" t="s">
        <v>122</v>
      </c>
      <c r="U4" s="63">
        <v>1.1599999999999999</v>
      </c>
      <c r="V4" s="73" t="s">
        <v>78</v>
      </c>
      <c r="W4" s="127" t="s">
        <v>122</v>
      </c>
      <c r="X4" s="81">
        <v>4.45E-3</v>
      </c>
      <c r="Y4" s="73" t="s">
        <v>59</v>
      </c>
      <c r="Z4" s="127" t="s">
        <v>122</v>
      </c>
      <c r="AA4" s="80">
        <v>5.4000000000000003E-3</v>
      </c>
      <c r="AB4" s="73" t="s">
        <v>59</v>
      </c>
      <c r="AC4" s="127" t="s">
        <v>122</v>
      </c>
      <c r="AD4" s="81">
        <v>5.2300000000000003E-3</v>
      </c>
      <c r="AE4" s="73" t="s">
        <v>59</v>
      </c>
      <c r="AF4" s="127" t="s">
        <v>122</v>
      </c>
      <c r="AG4" s="16">
        <v>1.4E-3</v>
      </c>
      <c r="AH4" s="73" t="s">
        <v>59</v>
      </c>
      <c r="AI4" s="127" t="s">
        <v>122</v>
      </c>
      <c r="AJ4" s="73">
        <v>1.2999999999999999E-3</v>
      </c>
      <c r="AK4" s="73" t="s">
        <v>59</v>
      </c>
      <c r="AL4" s="127" t="s">
        <v>122</v>
      </c>
      <c r="AM4" s="73"/>
      <c r="AN4" s="73"/>
      <c r="AO4" s="127"/>
      <c r="AP4" s="73"/>
      <c r="AQ4" s="73"/>
      <c r="AR4" s="127"/>
      <c r="AS4" s="12">
        <v>20200402</v>
      </c>
    </row>
    <row r="5" spans="1:45" x14ac:dyDescent="0.2">
      <c r="A5" s="59"/>
      <c r="B5" s="59"/>
      <c r="C5" s="59"/>
      <c r="D5" s="59"/>
      <c r="E5" s="59"/>
      <c r="F5" s="63"/>
      <c r="G5" s="16"/>
      <c r="H5" s="16"/>
      <c r="I5" s="63"/>
      <c r="J5" s="16"/>
      <c r="K5" s="16"/>
      <c r="L5" s="63"/>
      <c r="M5" s="16"/>
      <c r="N5" s="16"/>
      <c r="O5" s="63"/>
      <c r="P5" s="16"/>
      <c r="Q5" s="16"/>
      <c r="R5" s="63"/>
      <c r="S5" s="16"/>
      <c r="T5" s="16"/>
      <c r="U5" s="63"/>
      <c r="V5" s="64"/>
      <c r="W5" s="16"/>
      <c r="X5" s="63"/>
      <c r="Y5" s="64"/>
      <c r="Z5" s="16"/>
      <c r="AA5" s="63"/>
      <c r="AB5" s="64"/>
      <c r="AC5" s="16"/>
      <c r="AD5" s="64"/>
      <c r="AE5" s="64"/>
      <c r="AF5" s="16"/>
      <c r="AI5" s="16"/>
      <c r="AL5" s="16"/>
      <c r="AO5" s="16"/>
      <c r="AR5" s="16"/>
    </row>
    <row r="9" spans="1:45" x14ac:dyDescent="0.2">
      <c r="A9" s="59"/>
      <c r="B9" s="59"/>
      <c r="C9" s="59"/>
      <c r="D9" s="59"/>
      <c r="E9" s="5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64"/>
      <c r="W9" s="16"/>
      <c r="X9" s="64"/>
      <c r="Y9" s="64"/>
      <c r="Z9" s="16"/>
      <c r="AA9" s="64"/>
      <c r="AB9" s="64"/>
      <c r="AC9" s="16"/>
      <c r="AD9" s="64"/>
      <c r="AE9" s="64"/>
      <c r="AF9" s="16"/>
      <c r="AI9" s="16"/>
      <c r="AL9" s="16"/>
      <c r="AO9" s="16"/>
      <c r="AR9" s="16"/>
    </row>
    <row r="10" spans="1:45" x14ac:dyDescent="0.2">
      <c r="A10" s="59"/>
      <c r="B10" s="59"/>
      <c r="C10" s="59"/>
      <c r="D10" s="59"/>
      <c r="E10" s="59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64"/>
      <c r="W10" s="16"/>
      <c r="X10" s="64"/>
      <c r="Y10" s="64"/>
      <c r="Z10" s="16"/>
      <c r="AA10" s="64"/>
      <c r="AB10" s="64"/>
      <c r="AC10" s="16"/>
      <c r="AD10" s="64"/>
      <c r="AE10" s="64"/>
      <c r="AF10" s="16"/>
      <c r="AI10" s="16"/>
      <c r="AL10" s="16"/>
      <c r="AO10" s="16"/>
      <c r="AR10" s="16"/>
    </row>
    <row r="11" spans="1:45" x14ac:dyDescent="0.2">
      <c r="A11" s="59"/>
      <c r="B11" s="59"/>
      <c r="C11" s="59"/>
      <c r="D11" s="59"/>
      <c r="E11" s="59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64"/>
      <c r="W11" s="16"/>
      <c r="X11" s="64"/>
      <c r="Y11" s="64"/>
      <c r="Z11" s="16"/>
      <c r="AA11" s="64"/>
      <c r="AB11" s="64"/>
      <c r="AC11" s="16"/>
      <c r="AD11" s="64"/>
      <c r="AE11" s="64"/>
      <c r="AF11" s="16"/>
      <c r="AI11" s="16"/>
      <c r="AL11" s="16"/>
      <c r="AO11" s="16"/>
      <c r="AR11" s="16"/>
    </row>
    <row r="12" spans="1:45" x14ac:dyDescent="0.2">
      <c r="A12" s="59"/>
      <c r="B12" s="59"/>
      <c r="C12" s="59"/>
      <c r="D12" s="59"/>
      <c r="E12" s="59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64"/>
      <c r="W12" s="16"/>
      <c r="X12" s="64"/>
      <c r="Y12" s="64"/>
      <c r="Z12" s="16"/>
      <c r="AA12" s="64"/>
      <c r="AB12" s="64"/>
      <c r="AC12" s="16"/>
      <c r="AD12" s="64"/>
      <c r="AE12" s="64"/>
      <c r="AF12" s="16"/>
      <c r="AI12" s="16"/>
      <c r="AL12" s="16"/>
      <c r="AO12" s="16"/>
      <c r="AR12" s="16"/>
    </row>
    <row r="13" spans="1:45" x14ac:dyDescent="0.2">
      <c r="A13" s="59"/>
      <c r="B13" s="59"/>
      <c r="C13" s="59"/>
      <c r="D13" s="59"/>
      <c r="E13" s="59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64"/>
      <c r="W13" s="16"/>
      <c r="X13" s="64"/>
      <c r="Y13" s="64"/>
      <c r="Z13" s="16"/>
      <c r="AA13" s="64"/>
      <c r="AB13" s="64"/>
      <c r="AC13" s="16"/>
      <c r="AD13" s="64"/>
      <c r="AE13" s="64"/>
      <c r="AF13" s="16"/>
      <c r="AI13" s="16"/>
      <c r="AL13" s="16"/>
      <c r="AO13" s="16"/>
      <c r="AR13" s="16"/>
    </row>
    <row r="14" spans="1:45" x14ac:dyDescent="0.2">
      <c r="A14" s="59"/>
      <c r="B14" s="59"/>
      <c r="C14" s="59"/>
      <c r="D14" s="59"/>
      <c r="E14" s="59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64"/>
      <c r="W14" s="16"/>
      <c r="X14" s="64"/>
      <c r="Y14" s="64"/>
      <c r="Z14" s="16"/>
      <c r="AA14" s="64"/>
      <c r="AB14" s="64"/>
      <c r="AC14" s="16"/>
      <c r="AD14" s="64"/>
      <c r="AE14" s="64"/>
      <c r="AF14" s="16"/>
      <c r="AI14" s="16"/>
      <c r="AL14" s="16"/>
      <c r="AO14" s="16"/>
      <c r="AR14" s="16"/>
    </row>
    <row r="15" spans="1:45" x14ac:dyDescent="0.2">
      <c r="A15" s="59"/>
      <c r="B15" s="59"/>
      <c r="C15" s="59"/>
      <c r="D15" s="59"/>
      <c r="E15" s="59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64"/>
      <c r="W15" s="16"/>
      <c r="X15" s="64"/>
      <c r="Y15" s="64"/>
      <c r="Z15" s="16"/>
      <c r="AA15" s="64"/>
      <c r="AB15" s="64"/>
      <c r="AC15" s="16"/>
      <c r="AD15" s="64"/>
      <c r="AE15" s="64"/>
      <c r="AF15" s="16"/>
      <c r="AI15" s="16"/>
      <c r="AL15" s="16"/>
      <c r="AO15" s="16"/>
      <c r="AR15" s="16"/>
    </row>
    <row r="16" spans="1:45" x14ac:dyDescent="0.2">
      <c r="A16" s="59"/>
      <c r="B16" s="59"/>
      <c r="C16" s="59"/>
      <c r="D16" s="59"/>
      <c r="E16" s="5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64"/>
      <c r="W16" s="16"/>
      <c r="X16" s="64"/>
      <c r="Y16" s="64"/>
      <c r="Z16" s="16"/>
      <c r="AA16" s="64"/>
      <c r="AB16" s="64"/>
      <c r="AC16" s="16"/>
      <c r="AD16" s="64"/>
      <c r="AE16" s="64"/>
      <c r="AF16" s="16"/>
      <c r="AI16" s="16"/>
      <c r="AL16" s="16"/>
      <c r="AO16" s="16"/>
      <c r="AR16" s="16"/>
    </row>
    <row r="17" spans="1:44" x14ac:dyDescent="0.2">
      <c r="A17" s="59"/>
      <c r="B17" s="59"/>
      <c r="C17" s="59"/>
      <c r="D17" s="59"/>
      <c r="E17" s="5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4"/>
      <c r="W17" s="16"/>
      <c r="X17" s="64"/>
      <c r="Y17" s="64"/>
      <c r="Z17" s="16"/>
      <c r="AA17" s="64"/>
      <c r="AB17" s="64"/>
      <c r="AC17" s="16"/>
      <c r="AD17" s="64"/>
      <c r="AE17" s="64"/>
      <c r="AF17" s="16"/>
      <c r="AI17" s="16"/>
      <c r="AL17" s="16"/>
      <c r="AO17" s="16"/>
      <c r="AR17" s="16"/>
    </row>
    <row r="18" spans="1:44" x14ac:dyDescent="0.2">
      <c r="A18" s="59"/>
      <c r="B18" s="59"/>
      <c r="C18" s="59"/>
      <c r="D18" s="59"/>
      <c r="E18" s="5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4"/>
      <c r="W18" s="16"/>
      <c r="X18" s="64"/>
      <c r="Y18" s="64"/>
      <c r="Z18" s="16"/>
      <c r="AA18" s="64"/>
      <c r="AB18" s="64"/>
      <c r="AC18" s="16"/>
      <c r="AD18" s="64"/>
      <c r="AE18" s="64"/>
      <c r="AF18" s="16"/>
      <c r="AI18" s="16"/>
      <c r="AL18" s="16"/>
      <c r="AO18" s="16"/>
      <c r="AR18" s="16"/>
    </row>
    <row r="19" spans="1:44" x14ac:dyDescent="0.2">
      <c r="A19" s="59"/>
      <c r="B19" s="59"/>
      <c r="C19" s="59"/>
      <c r="D19" s="59"/>
      <c r="E19" s="5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64"/>
      <c r="W19" s="16"/>
      <c r="X19" s="64"/>
      <c r="Y19" s="64"/>
      <c r="Z19" s="16"/>
      <c r="AA19" s="64"/>
      <c r="AB19" s="64"/>
      <c r="AC19" s="16"/>
      <c r="AD19" s="64"/>
      <c r="AE19" s="64"/>
      <c r="AF19" s="16"/>
      <c r="AI19" s="16"/>
      <c r="AL19" s="16"/>
      <c r="AO19" s="16"/>
      <c r="AR19" s="16"/>
    </row>
    <row r="20" spans="1:44" x14ac:dyDescent="0.2">
      <c r="A20" s="59"/>
      <c r="B20" s="59"/>
      <c r="C20" s="59"/>
      <c r="D20" s="59"/>
      <c r="E20" s="5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64"/>
      <c r="W20" s="16"/>
      <c r="X20" s="64"/>
      <c r="Y20" s="64"/>
      <c r="Z20" s="16"/>
      <c r="AA20" s="64"/>
      <c r="AB20" s="64"/>
      <c r="AC20" s="16"/>
      <c r="AD20" s="64"/>
      <c r="AE20" s="64"/>
      <c r="AF20" s="16"/>
      <c r="AI20" s="16"/>
      <c r="AL20" s="16"/>
      <c r="AO20" s="16"/>
      <c r="AR20" s="16"/>
    </row>
    <row r="21" spans="1:44" x14ac:dyDescent="0.2">
      <c r="A21" s="65"/>
      <c r="B21" s="65"/>
      <c r="C21" s="65"/>
      <c r="D21" s="65"/>
      <c r="E21" s="6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64"/>
      <c r="W21" s="16"/>
      <c r="X21" s="64"/>
      <c r="Y21" s="64"/>
      <c r="Z21" s="16"/>
      <c r="AA21" s="64"/>
      <c r="AB21" s="64"/>
      <c r="AC21" s="16"/>
      <c r="AD21" s="64"/>
      <c r="AE21" s="64"/>
      <c r="AF21" s="16"/>
      <c r="AI21" s="16"/>
      <c r="AL21" s="16"/>
      <c r="AO21" s="16"/>
      <c r="AR21" s="16"/>
    </row>
    <row r="22" spans="1:44" x14ac:dyDescent="0.2">
      <c r="A22" s="59"/>
      <c r="B22" s="59"/>
      <c r="C22" s="59"/>
      <c r="D22" s="59"/>
      <c r="E22" s="5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64"/>
      <c r="W22" s="16"/>
      <c r="X22" s="64"/>
      <c r="Y22" s="64"/>
      <c r="Z22" s="16"/>
      <c r="AA22" s="64"/>
      <c r="AB22" s="64"/>
      <c r="AC22" s="16"/>
      <c r="AD22" s="64"/>
      <c r="AE22" s="64"/>
      <c r="AF22" s="16"/>
      <c r="AI22" s="16"/>
      <c r="AL22" s="16"/>
      <c r="AO22" s="16"/>
      <c r="AR22" s="16"/>
    </row>
    <row r="23" spans="1:44" x14ac:dyDescent="0.2">
      <c r="A23" s="65"/>
      <c r="B23" s="65"/>
      <c r="C23" s="65"/>
      <c r="D23" s="65"/>
      <c r="E23" s="6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64"/>
      <c r="W23" s="16"/>
      <c r="X23" s="64"/>
      <c r="Y23" s="64"/>
      <c r="Z23" s="16"/>
      <c r="AA23" s="64"/>
      <c r="AB23" s="64"/>
      <c r="AC23" s="16"/>
      <c r="AD23" s="64"/>
      <c r="AE23" s="64"/>
      <c r="AF23" s="16"/>
      <c r="AI23" s="16"/>
      <c r="AL23" s="16"/>
      <c r="AO23" s="16"/>
      <c r="AR23" s="16"/>
    </row>
    <row r="24" spans="1:44" x14ac:dyDescent="0.2">
      <c r="A24" s="65"/>
      <c r="B24" s="65"/>
      <c r="C24" s="65"/>
      <c r="D24" s="65"/>
      <c r="E24" s="6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64"/>
      <c r="W24" s="16"/>
      <c r="X24" s="64"/>
      <c r="Y24" s="64"/>
      <c r="Z24" s="16"/>
      <c r="AA24" s="64"/>
      <c r="AB24" s="64"/>
      <c r="AC24" s="16"/>
      <c r="AD24" s="64"/>
      <c r="AE24" s="64"/>
      <c r="AF24" s="16"/>
      <c r="AI24" s="16"/>
      <c r="AL24" s="16"/>
      <c r="AO24" s="16"/>
      <c r="AR24" s="16"/>
    </row>
    <row r="25" spans="1:44" x14ac:dyDescent="0.2">
      <c r="A25" s="65"/>
      <c r="B25" s="65"/>
      <c r="C25" s="65"/>
      <c r="D25" s="65"/>
      <c r="E25" s="6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64"/>
      <c r="W25" s="16"/>
      <c r="X25" s="64"/>
      <c r="Y25" s="64"/>
      <c r="Z25" s="16"/>
      <c r="AA25" s="64"/>
      <c r="AB25" s="64"/>
      <c r="AC25" s="16"/>
      <c r="AD25" s="64"/>
      <c r="AE25" s="64"/>
      <c r="AF25" s="16"/>
      <c r="AI25" s="16"/>
      <c r="AL25" s="16"/>
      <c r="AO25" s="16"/>
      <c r="AR25" s="16"/>
    </row>
    <row r="26" spans="1:44" x14ac:dyDescent="0.2">
      <c r="A26" s="65"/>
      <c r="B26" s="65"/>
      <c r="C26" s="65"/>
      <c r="D26" s="65"/>
      <c r="E26" s="6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64"/>
      <c r="W26" s="16"/>
      <c r="X26" s="64"/>
      <c r="Y26" s="64"/>
      <c r="Z26" s="16"/>
      <c r="AA26" s="64"/>
      <c r="AB26" s="64"/>
      <c r="AC26" s="16"/>
      <c r="AD26" s="64"/>
      <c r="AE26" s="64"/>
      <c r="AF26" s="16"/>
      <c r="AI26" s="16"/>
      <c r="AL26" s="16"/>
      <c r="AO26" s="16"/>
      <c r="AR26" s="16"/>
    </row>
    <row r="27" spans="1:44" x14ac:dyDescent="0.2">
      <c r="A27" s="65"/>
      <c r="B27" s="65"/>
      <c r="C27" s="65"/>
      <c r="D27" s="65"/>
      <c r="E27" s="65"/>
      <c r="V27" s="66"/>
      <c r="X27" s="66"/>
      <c r="Y27" s="66"/>
      <c r="AA27" s="66"/>
      <c r="AB27" s="66"/>
      <c r="AD27" s="66"/>
      <c r="AE27" s="66"/>
    </row>
    <row r="28" spans="1:44" x14ac:dyDescent="0.2">
      <c r="A28" s="65"/>
      <c r="B28" s="65"/>
      <c r="C28" s="65"/>
      <c r="D28" s="65"/>
      <c r="E28" s="65"/>
      <c r="V28" s="66"/>
      <c r="X28" s="66"/>
      <c r="Y28" s="66"/>
      <c r="AA28" s="66"/>
      <c r="AB28" s="66"/>
      <c r="AD28" s="66"/>
      <c r="AE28" s="66"/>
    </row>
    <row r="29" spans="1:44" x14ac:dyDescent="0.2">
      <c r="A29" s="65"/>
      <c r="B29" s="65"/>
      <c r="C29" s="65"/>
      <c r="D29" s="65"/>
      <c r="E29" s="65"/>
      <c r="V29" s="66"/>
      <c r="X29" s="66"/>
      <c r="Y29" s="66"/>
      <c r="AA29" s="66"/>
      <c r="AB29" s="66"/>
      <c r="AD29" s="66"/>
      <c r="AE29" s="66"/>
    </row>
    <row r="30" spans="1:44" x14ac:dyDescent="0.2">
      <c r="A30" s="65"/>
      <c r="B30" s="65"/>
      <c r="C30" s="65"/>
      <c r="D30" s="65"/>
      <c r="E30" s="65"/>
      <c r="V30" s="66"/>
      <c r="X30" s="66"/>
      <c r="Y30" s="66"/>
      <c r="AA30" s="66"/>
      <c r="AB30" s="66"/>
      <c r="AD30" s="66"/>
      <c r="AE30" s="66"/>
    </row>
    <row r="31" spans="1:44" x14ac:dyDescent="0.2">
      <c r="A31" s="65"/>
      <c r="B31" s="65"/>
      <c r="C31" s="65"/>
      <c r="D31" s="65"/>
      <c r="E31" s="65"/>
      <c r="V31" s="66"/>
      <c r="X31" s="66"/>
      <c r="Y31" s="66"/>
      <c r="AA31" s="66"/>
      <c r="AB31" s="66"/>
      <c r="AD31" s="66"/>
      <c r="AE31" s="66"/>
    </row>
    <row r="32" spans="1:44" x14ac:dyDescent="0.2">
      <c r="A32" s="65"/>
      <c r="B32" s="65"/>
      <c r="C32" s="65"/>
      <c r="D32" s="65"/>
      <c r="E32" s="65"/>
      <c r="V32" s="66"/>
      <c r="X32" s="66"/>
      <c r="Y32" s="66"/>
      <c r="AA32" s="66"/>
      <c r="AB32" s="66"/>
      <c r="AD32" s="66"/>
      <c r="AE32" s="66"/>
    </row>
    <row r="33" spans="1:44" x14ac:dyDescent="0.2">
      <c r="A33" s="65"/>
      <c r="B33" s="65"/>
      <c r="C33" s="65"/>
      <c r="D33" s="65"/>
      <c r="E33" s="65"/>
      <c r="V33" s="66"/>
      <c r="X33" s="66"/>
      <c r="Y33" s="66"/>
      <c r="AA33" s="66"/>
      <c r="AB33" s="66"/>
      <c r="AD33" s="66"/>
      <c r="AE33" s="66"/>
    </row>
    <row r="34" spans="1:44" x14ac:dyDescent="0.2">
      <c r="A34" s="65"/>
      <c r="B34" s="65"/>
      <c r="C34" s="65"/>
      <c r="D34" s="65"/>
      <c r="E34" s="65"/>
      <c r="V34" s="66"/>
      <c r="X34" s="66"/>
      <c r="Y34" s="66"/>
      <c r="AA34" s="66"/>
      <c r="AB34" s="66"/>
      <c r="AD34" s="66"/>
      <c r="AE34" s="66"/>
    </row>
    <row r="35" spans="1:44" x14ac:dyDescent="0.2">
      <c r="A35" s="65"/>
      <c r="B35" s="65"/>
      <c r="C35" s="65"/>
      <c r="D35" s="65"/>
      <c r="E35" s="65"/>
      <c r="V35" s="66"/>
      <c r="X35" s="66"/>
      <c r="Y35" s="66"/>
      <c r="AA35" s="66"/>
      <c r="AB35" s="66"/>
      <c r="AD35" s="66"/>
      <c r="AE35" s="66"/>
    </row>
    <row r="36" spans="1:44" x14ac:dyDescent="0.2">
      <c r="A36" s="65"/>
      <c r="B36" s="65"/>
      <c r="C36" s="65"/>
      <c r="D36" s="65"/>
      <c r="E36" s="65"/>
      <c r="V36" s="66"/>
      <c r="X36" s="66"/>
      <c r="Y36" s="66"/>
      <c r="AA36" s="66"/>
      <c r="AB36" s="66"/>
      <c r="AD36" s="66"/>
      <c r="AE36" s="66"/>
    </row>
    <row r="37" spans="1:44" x14ac:dyDescent="0.2">
      <c r="A37" s="65"/>
      <c r="B37" s="65"/>
      <c r="C37" s="65"/>
      <c r="D37" s="65"/>
      <c r="E37" s="65"/>
      <c r="V37" s="66"/>
      <c r="X37" s="66"/>
      <c r="Y37" s="66"/>
      <c r="AA37" s="66"/>
      <c r="AB37" s="66"/>
      <c r="AD37" s="66"/>
      <c r="AE37" s="66"/>
    </row>
    <row r="38" spans="1:44" x14ac:dyDescent="0.2">
      <c r="A38" s="65"/>
      <c r="B38" s="65"/>
      <c r="C38" s="65"/>
      <c r="D38" s="65"/>
      <c r="E38" s="65"/>
      <c r="V38" s="66"/>
      <c r="X38" s="66"/>
      <c r="Y38" s="66"/>
      <c r="AA38" s="66"/>
      <c r="AB38" s="66"/>
      <c r="AD38" s="66"/>
      <c r="AE38" s="66"/>
    </row>
    <row r="39" spans="1:44" x14ac:dyDescent="0.2">
      <c r="A39" s="65"/>
      <c r="B39" s="65"/>
      <c r="C39" s="65"/>
      <c r="D39" s="65"/>
      <c r="E39" s="65"/>
      <c r="V39" s="66"/>
      <c r="X39" s="66"/>
      <c r="Y39" s="66"/>
      <c r="AA39" s="66"/>
      <c r="AB39" s="66"/>
      <c r="AD39" s="66"/>
      <c r="AE39" s="66"/>
    </row>
    <row r="40" spans="1:44" x14ac:dyDescent="0.2">
      <c r="A40" s="65"/>
      <c r="B40" s="65"/>
      <c r="C40" s="65"/>
      <c r="D40" s="65"/>
      <c r="E40" s="65"/>
      <c r="V40" s="66"/>
      <c r="X40" s="66"/>
      <c r="Y40" s="66"/>
      <c r="AA40" s="66"/>
      <c r="AB40" s="66"/>
      <c r="AD40" s="66"/>
      <c r="AE40" s="66"/>
    </row>
    <row r="41" spans="1:44" x14ac:dyDescent="0.2">
      <c r="A41" s="65"/>
      <c r="B41" s="65"/>
      <c r="C41" s="65"/>
      <c r="D41" s="65"/>
      <c r="E41" s="65"/>
      <c r="V41" s="66"/>
      <c r="X41" s="66"/>
      <c r="Y41" s="66"/>
      <c r="AA41" s="66"/>
      <c r="AB41" s="66"/>
      <c r="AD41" s="66"/>
      <c r="AE41" s="66"/>
    </row>
    <row r="42" spans="1:44" s="55" customFormat="1" x14ac:dyDescent="0.2">
      <c r="A42" s="38"/>
      <c r="B42" s="38"/>
      <c r="C42" s="38"/>
      <c r="D42" s="38"/>
      <c r="E42" s="3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W42" s="12"/>
      <c r="Z42" s="12"/>
      <c r="AC42" s="12"/>
      <c r="AF42" s="12"/>
      <c r="AI42" s="12"/>
      <c r="AL42" s="12"/>
      <c r="AO42" s="12"/>
      <c r="AR42" s="12"/>
    </row>
  </sheetData>
  <sheetProtection algorithmName="SHA-512" hashValue="RhktiJUBIfP1mTJxTjERoHQBA727eGbAQ0gTQpsNrbf5dF11tyfEz/e5vVeW7jlxwKyOvu/v0VKOrUd4WmknYA==" saltValue="3hhr2jOBQq94TAkECxLW5A==" spinCount="100000" sheet="1"/>
  <phoneticPr fontId="5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Combustion</vt:lpstr>
      <vt:lpstr>Permit Limits</vt:lpstr>
      <vt:lpstr>INV-3</vt:lpstr>
      <vt:lpstr>Process Emissions</vt:lpstr>
      <vt:lpstr>Emission Factors</vt:lpstr>
      <vt:lpstr>Diesel</vt:lpstr>
      <vt:lpstr>Combustion!Print_Area</vt:lpstr>
      <vt:lpstr>'Process Emissions'!Print_Area</vt:lpstr>
    </vt:vector>
  </TitlesOfParts>
  <Company>iwrc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Gedlinske</dc:creator>
  <cp:lastModifiedBy>Jennifer L Wittenburg</cp:lastModifiedBy>
  <cp:lastPrinted>2022-10-12T15:48:01Z</cp:lastPrinted>
  <dcterms:created xsi:type="dcterms:W3CDTF">1999-10-20T15:39:50Z</dcterms:created>
  <dcterms:modified xsi:type="dcterms:W3CDTF">2022-11-03T19:32:41Z</dcterms:modified>
</cp:coreProperties>
</file>