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AEAP\MSEI\Calculators\2022 Calculators\"/>
    </mc:Choice>
  </mc:AlternateContent>
  <xr:revisionPtr revIDLastSave="0" documentId="13_ncr:1_{EF09CE09-02F9-4B24-A63A-EE1E73BAA5AA}" xr6:coauthVersionLast="36" xr6:coauthVersionMax="36" xr10:uidLastSave="{00000000-0000-0000-0000-000000000000}"/>
  <bookViews>
    <workbookView xWindow="0" yWindow="0" windowWidth="19200" windowHeight="10785" xr2:uid="{00000000-000D-0000-FFFF-FFFF00000000}"/>
  </bookViews>
  <sheets>
    <sheet name="Combustion" sheetId="2" r:id="rId1"/>
    <sheet name="Permit Limits" sheetId="6" state="hidden" r:id="rId2"/>
    <sheet name="INV-3" sheetId="4" state="hidden" r:id="rId3"/>
    <sheet name="Process Emissions" sheetId="5" r:id="rId4"/>
    <sheet name="Emission Factors" sheetId="7" r:id="rId5"/>
  </sheets>
  <definedNames>
    <definedName name="_xlnm.Print_Area" localSheetId="3">'Process Emissions'!$A$1:$F$22</definedName>
  </definedNames>
  <calcPr calcId="191029"/>
</workbook>
</file>

<file path=xl/calcChain.xml><?xml version="1.0" encoding="utf-8"?>
<calcChain xmlns="http://schemas.openxmlformats.org/spreadsheetml/2006/main">
  <c r="B9" i="2" l="1"/>
  <c r="B8" i="2"/>
  <c r="F7" i="2" l="1"/>
  <c r="J7" i="2"/>
  <c r="B5" i="5" l="1"/>
  <c r="L15" i="2"/>
  <c r="L14" i="2"/>
  <c r="L13" i="2"/>
  <c r="L12" i="2"/>
  <c r="L11" i="2"/>
  <c r="L10" i="2"/>
  <c r="L9" i="2"/>
  <c r="L8" i="2"/>
  <c r="L7" i="2"/>
  <c r="K7" i="2" l="1"/>
  <c r="K8" i="2"/>
  <c r="K9" i="2"/>
  <c r="K10" i="2"/>
  <c r="K11" i="2"/>
  <c r="K12" i="2"/>
  <c r="K13" i="2"/>
  <c r="K14" i="2"/>
  <c r="K15" i="2"/>
  <c r="I15" i="2" l="1"/>
  <c r="B8" i="5"/>
  <c r="I14" i="2"/>
  <c r="C18" i="6"/>
  <c r="D6" i="4"/>
  <c r="J15" i="2"/>
  <c r="J14" i="2"/>
  <c r="E25" i="6"/>
  <c r="E24" i="6"/>
  <c r="I9" i="2"/>
  <c r="E13" i="4"/>
  <c r="I8" i="2"/>
  <c r="I7" i="2"/>
  <c r="A9" i="2"/>
  <c r="D4" i="4" s="1"/>
  <c r="H26" i="2"/>
  <c r="H27" i="2"/>
  <c r="H28" i="2"/>
  <c r="H29" i="2"/>
  <c r="H30" i="2"/>
  <c r="H25" i="2"/>
  <c r="H24" i="2"/>
  <c r="I13" i="2"/>
  <c r="I12" i="2"/>
  <c r="I11" i="2"/>
  <c r="I10" i="2"/>
  <c r="J13" i="2"/>
  <c r="J12" i="2"/>
  <c r="J11" i="2"/>
  <c r="J10" i="2"/>
  <c r="J9" i="2"/>
  <c r="J8" i="2"/>
  <c r="G7" i="2"/>
  <c r="B6" i="5" s="1"/>
  <c r="D7" i="2"/>
  <c r="H22" i="2"/>
  <c r="H21" i="2"/>
  <c r="H20" i="2"/>
  <c r="H23" i="2"/>
  <c r="E16" i="5"/>
  <c r="H19" i="2"/>
  <c r="J12" i="4"/>
  <c r="J11" i="4"/>
  <c r="J13" i="4"/>
  <c r="J14" i="4"/>
  <c r="J15" i="4"/>
  <c r="J16" i="4"/>
  <c r="A10" i="2"/>
  <c r="D5" i="4" s="1"/>
  <c r="D18" i="5" l="1"/>
  <c r="B19" i="5"/>
  <c r="D19" i="5"/>
  <c r="B20" i="5"/>
  <c r="A20" i="5"/>
  <c r="D20" i="5"/>
  <c r="D14" i="5"/>
  <c r="D15" i="5"/>
  <c r="A21" i="5"/>
  <c r="D21" i="5"/>
  <c r="D16" i="5"/>
  <c r="D17" i="5"/>
  <c r="A22" i="5"/>
  <c r="D22" i="5"/>
  <c r="B11" i="4"/>
  <c r="G11" i="4" s="1"/>
  <c r="K11" i="4" s="1"/>
  <c r="B14" i="5"/>
  <c r="B12" i="4"/>
  <c r="G12" i="4" s="1"/>
  <c r="K12" i="4" s="1"/>
  <c r="B15" i="5"/>
  <c r="A20" i="4"/>
  <c r="B21" i="5"/>
  <c r="C18" i="5"/>
  <c r="F18" i="5" s="1"/>
  <c r="B18" i="5"/>
  <c r="B13" i="4"/>
  <c r="F13" i="4" s="1"/>
  <c r="B16" i="5"/>
  <c r="C17" i="5"/>
  <c r="B17" i="5"/>
  <c r="C22" i="5"/>
  <c r="F22" i="5" s="1"/>
  <c r="B22" i="5"/>
  <c r="B9" i="5"/>
  <c r="J20" i="4"/>
  <c r="C21" i="5"/>
  <c r="F21" i="5" s="1"/>
  <c r="D20" i="4"/>
  <c r="D18" i="4"/>
  <c r="C20" i="5"/>
  <c r="F20" i="5" s="1"/>
  <c r="J18" i="4"/>
  <c r="D21" i="4"/>
  <c r="C13" i="4"/>
  <c r="D3" i="4"/>
  <c r="C15" i="4"/>
  <c r="C12" i="4"/>
  <c r="D16" i="4"/>
  <c r="B14" i="4"/>
  <c r="G14" i="4" s="1"/>
  <c r="K14" i="4" s="1"/>
  <c r="C19" i="5"/>
  <c r="F19" i="5" s="1"/>
  <c r="C16" i="4"/>
  <c r="D12" i="4"/>
  <c r="B16" i="4"/>
  <c r="G16" i="4" s="1"/>
  <c r="K16" i="4" s="1"/>
  <c r="C15" i="5"/>
  <c r="F15" i="5" s="1"/>
  <c r="D11" i="4"/>
  <c r="C11" i="4"/>
  <c r="D15" i="4"/>
  <c r="B15" i="4"/>
  <c r="G15" i="4" s="1"/>
  <c r="K15" i="4" s="1"/>
  <c r="C20" i="4"/>
  <c r="C16" i="5"/>
  <c r="F16" i="5" s="1"/>
  <c r="C14" i="5"/>
  <c r="F14" i="5" s="1"/>
  <c r="B20" i="4"/>
  <c r="G20" i="4" s="1"/>
  <c r="K20" i="4" s="1"/>
  <c r="C18" i="4"/>
  <c r="B18" i="4"/>
  <c r="G18" i="4" s="1"/>
  <c r="K18" i="4" s="1"/>
  <c r="G6" i="4"/>
  <c r="B10" i="5"/>
  <c r="D13" i="4"/>
  <c r="D14" i="4"/>
  <c r="C14" i="4"/>
  <c r="F17" i="5"/>
  <c r="C17" i="6"/>
  <c r="A21" i="4"/>
  <c r="B7" i="5"/>
  <c r="B21" i="4"/>
  <c r="G21" i="4" s="1"/>
  <c r="K21" i="4" s="1"/>
  <c r="C21" i="4"/>
  <c r="J21" i="4"/>
  <c r="G13" i="4" l="1"/>
  <c r="K13" i="4" s="1"/>
</calcChain>
</file>

<file path=xl/sharedStrings.xml><?xml version="1.0" encoding="utf-8"?>
<sst xmlns="http://schemas.openxmlformats.org/spreadsheetml/2006/main" count="314" uniqueCount="142">
  <si>
    <t>Emission Year:</t>
  </si>
  <si>
    <t>Facility Name:</t>
  </si>
  <si>
    <t xml:space="preserve">            Form INV-3 EMISSION UNIT DESCRIPTION - POTENTIAL EMISSIONS</t>
  </si>
  <si>
    <t>12)  Maximum Hourly Design Rate</t>
  </si>
  <si>
    <t>Per Hour</t>
  </si>
  <si>
    <t>POTENTIAL EMISSIONS</t>
  </si>
  <si>
    <t>Air Pollutant</t>
  </si>
  <si>
    <t>Emission Factor</t>
  </si>
  <si>
    <t>Emission Factor Units</t>
  </si>
  <si>
    <t>Source of Emission Factor</t>
  </si>
  <si>
    <t>Ash or Sulfur %</t>
  </si>
  <si>
    <t>Potential Hourly Uncontrolled Emissions (lb/hr)</t>
  </si>
  <si>
    <t>Combined Control Efficiency</t>
  </si>
  <si>
    <t>Transfer Efficiency</t>
  </si>
  <si>
    <t>Potential Hourly Controlled Emissions (lb/hr)</t>
  </si>
  <si>
    <t>Potential Annual Emission (ton/yr)</t>
  </si>
  <si>
    <t>PM-2.5</t>
  </si>
  <si>
    <t>PM-10</t>
  </si>
  <si>
    <t>SO2</t>
  </si>
  <si>
    <t>NOx</t>
  </si>
  <si>
    <t>VOC</t>
  </si>
  <si>
    <t>CO</t>
  </si>
  <si>
    <t>Lead</t>
  </si>
  <si>
    <t>Ammonia</t>
  </si>
  <si>
    <t>POTENTIAL EMISSIONS - Individual HAPs and additional regulated air pollutants - list the name in Column 14</t>
  </si>
  <si>
    <t>Permit Limits</t>
  </si>
  <si>
    <t>lb/hr</t>
  </si>
  <si>
    <t>ton/yr</t>
  </si>
  <si>
    <t>Particulate Matter</t>
  </si>
  <si>
    <t>PM10</t>
  </si>
  <si>
    <t>Sulfur Dioxides (SO2)</t>
  </si>
  <si>
    <t>Volatile Organic Compounds (VOC)</t>
  </si>
  <si>
    <t>Carbon Monoxide (CO)</t>
  </si>
  <si>
    <t>Lead (Pb)</t>
  </si>
  <si>
    <t>Single Hazardous Air Pollutant (HAP)</t>
  </si>
  <si>
    <t>Total Hazardous Air Pollutant (HAP)</t>
  </si>
  <si>
    <t>Nitrogen Oxides (NOx)</t>
  </si>
  <si>
    <t>Hours of Operation Limit</t>
  </si>
  <si>
    <t>Hours/Yr</t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</si>
  <si>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</si>
  <si>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r>
      <t xml:space="preserve">Emission Limits (found in the section titled Emission Limits) - </t>
    </r>
    <r>
      <rPr>
        <b/>
        <sz val="10"/>
        <color indexed="48"/>
        <rFont val="Arial"/>
        <family val="2"/>
      </rPr>
      <t>Leave Blank if Not Applicable</t>
    </r>
  </si>
  <si>
    <t>Note: If you have an hrs/day limit multipy by 365 to get hrs/yr</t>
  </si>
  <si>
    <t>Permit Number (s)</t>
  </si>
  <si>
    <t>PM2.5</t>
  </si>
  <si>
    <t>4)    SCC Number</t>
  </si>
  <si>
    <t>5)    Description of the Process</t>
  </si>
  <si>
    <t>9)    Raw Material - OR Fuels Used</t>
  </si>
  <si>
    <t>Maximum Hourly Usage Rate</t>
  </si>
  <si>
    <t>SCC No.</t>
  </si>
  <si>
    <t>Combustion</t>
  </si>
  <si>
    <t>Process</t>
  </si>
  <si>
    <t>Description</t>
  </si>
  <si>
    <t>Fuel</t>
  </si>
  <si>
    <t>Units</t>
  </si>
  <si>
    <t>PM 2.5</t>
  </si>
  <si>
    <t>Source</t>
  </si>
  <si>
    <t>PM 10</t>
  </si>
  <si>
    <t xml:space="preserve">NOx </t>
  </si>
  <si>
    <t xml:space="preserve">VOC </t>
  </si>
  <si>
    <t>Hexane</t>
  </si>
  <si>
    <t>SCC #</t>
  </si>
  <si>
    <t>Stationary Diesel Engine ≤ 600 bhp</t>
  </si>
  <si>
    <t>Diesel Fuel Combustion &lt;600 bhp</t>
  </si>
  <si>
    <t>Diesel Fuel</t>
  </si>
  <si>
    <t>WebFIRE</t>
  </si>
  <si>
    <t>Stationary Diesel Engine &gt; 600 bhp</t>
  </si>
  <si>
    <t xml:space="preserve">Diesel Fuel Combustion &gt;600bhp </t>
  </si>
  <si>
    <t>DNR Memo</t>
  </si>
  <si>
    <t>Boiler &lt; 100 MMBtu/hr (No. 2 Fuel Oil)</t>
  </si>
  <si>
    <t>No. 2 Fuel Oil</t>
  </si>
  <si>
    <t>Boiler &lt; 100 MMBtu/hr (Natural Gas)</t>
  </si>
  <si>
    <t>Natural Gas Combustion</t>
  </si>
  <si>
    <t>Natural Gas</t>
  </si>
  <si>
    <t>Pollutant</t>
  </si>
  <si>
    <t>Internal Combustion Engine (Natural Gas)</t>
  </si>
  <si>
    <t>Propane Combustion</t>
  </si>
  <si>
    <t>Propane</t>
  </si>
  <si>
    <t>Industrial Boiler (Propane)</t>
  </si>
  <si>
    <t>Commercial Boiler (Propane)</t>
  </si>
  <si>
    <t>EF Units</t>
  </si>
  <si>
    <t>MMCF</t>
  </si>
  <si>
    <t>MMBtu</t>
  </si>
  <si>
    <t>No. 2 Fuel Oil Combustion</t>
  </si>
  <si>
    <t>Max Hourly Design Rate</t>
  </si>
  <si>
    <t>Annual Usage Limit</t>
  </si>
  <si>
    <t>%</t>
  </si>
  <si>
    <t>Percent Sulfur Content Limit</t>
  </si>
  <si>
    <t>gallons</t>
  </si>
  <si>
    <t>1000 gallons</t>
  </si>
  <si>
    <t>1 gal = 0.001 1000 gal</t>
  </si>
  <si>
    <t>ft³</t>
  </si>
  <si>
    <t>General:</t>
  </si>
  <si>
    <t>Natural Gas:</t>
  </si>
  <si>
    <t>Propane:</t>
  </si>
  <si>
    <t>1 gal = 0.140 MMBtu</t>
  </si>
  <si>
    <t>1 ft³ = 0.00105 MMBtu</t>
  </si>
  <si>
    <t>1 gal = 0.0905 MMBtu</t>
  </si>
  <si>
    <t>1 ft³ =0.000001 MMCF</t>
  </si>
  <si>
    <t>Diesel:</t>
  </si>
  <si>
    <t>No. 2 Fuel Oil:</t>
  </si>
  <si>
    <t>1.8 / 9.1</t>
  </si>
  <si>
    <t xml:space="preserve"> </t>
  </si>
  <si>
    <t>Conversion Table:</t>
  </si>
  <si>
    <t>therms</t>
  </si>
  <si>
    <t>1 therm = 100,000 Btu</t>
  </si>
  <si>
    <t>Conversion Table</t>
  </si>
  <si>
    <t>Diesel Fuel:</t>
  </si>
  <si>
    <t>All Fuels:</t>
  </si>
  <si>
    <t>Formaldehyde</t>
  </si>
  <si>
    <t>AP-42 Table 3.3-1</t>
  </si>
  <si>
    <t>AP-42 Table 3.4-1</t>
  </si>
  <si>
    <t>AP-42 Table 1.5-1</t>
  </si>
  <si>
    <t>Annual Fuel Usage</t>
  </si>
  <si>
    <t xml:space="preserve">Please fill in the yellow boxes. Once complete, click to the Process Emissions tab below. </t>
  </si>
  <si>
    <t>Calc Method</t>
  </si>
  <si>
    <t>28 - USEPA EF (pre-control)</t>
  </si>
  <si>
    <t>29 - S/L/T EF (pre-control)</t>
  </si>
  <si>
    <t>Calculation Method</t>
  </si>
  <si>
    <t>Emission Unit Identifier:</t>
  </si>
  <si>
    <t>Process Emissions</t>
  </si>
  <si>
    <t>Information on this page should be referenced as you enter data into the Process Emissions section of SLEIS.</t>
  </si>
  <si>
    <t>SLEIS PROCESS TAB</t>
  </si>
  <si>
    <t>Emission Unit Identifier</t>
  </si>
  <si>
    <t>SCC Number</t>
  </si>
  <si>
    <t>Description of Process</t>
  </si>
  <si>
    <t>Actual Throughput - Annual Total</t>
  </si>
  <si>
    <t>Throughput Unit of Measure</t>
  </si>
  <si>
    <t>Throughput Material</t>
  </si>
  <si>
    <t>SLEIS EMISSIONS TAB</t>
  </si>
  <si>
    <t>Pollutant Code:</t>
  </si>
  <si>
    <t>Emission Factor (lbs/unit)</t>
  </si>
  <si>
    <t>Estimated Emissions (Tons/Yr)</t>
  </si>
  <si>
    <t>PM25-PRI-PM2.5 Primary (Filt + Cond)</t>
  </si>
  <si>
    <t>PM10-PRI-PM10 Primary (Filt + Cond)</t>
  </si>
  <si>
    <t>E6FT3-Million Cubic Feet</t>
  </si>
  <si>
    <t>E6BTU-Million BTUS</t>
  </si>
  <si>
    <t>E3GAL-1000 gallons</t>
  </si>
  <si>
    <t>SO2 - Sulfur Dioxide</t>
  </si>
  <si>
    <t xml:space="preserve">NOX - Nitrogen Oxides </t>
  </si>
  <si>
    <t>VOC - Volatile Organic Compounds</t>
  </si>
  <si>
    <t>CO - Carbon Monoxide</t>
  </si>
  <si>
    <t>Last Updated: 10-12-22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</si>
</sst>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1" x14ac:knownFonts="1">
    <font>
      <sz val="10"/>
      <name val="Arial"/>
    </font>
    <font>
      <sz val="9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7"/>
      <color indexed="12"/>
      <name val="Times New Roman"/>
      <family val="1"/>
    </font>
    <font>
      <i/>
      <sz val="8"/>
      <color rgb="FFFF0000"/>
      <name val="Arial"/>
      <family val="2"/>
    </font>
    <font>
      <sz val="9"/>
      <color indexed="12"/>
      <name val="Times New Roman"/>
      <family val="1"/>
    </font>
    <font>
      <sz val="7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8"/>
      <color indexed="12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4" fillId="0" borderId="2" xfId="0" applyFont="1" applyBorder="1" applyAlignment="1"/>
    <xf numFmtId="0" fontId="0" fillId="0" borderId="2" xfId="0" applyBorder="1" applyAlignment="1"/>
    <xf numFmtId="0" fontId="8" fillId="0" borderId="3" xfId="0" applyFont="1" applyBorder="1" applyAlignment="1">
      <alignment horizontal="left"/>
    </xf>
    <xf numFmtId="0" fontId="1" fillId="0" borderId="3" xfId="0" applyFont="1" applyBorder="1" applyAlignment="1"/>
    <xf numFmtId="0" fontId="0" fillId="0" borderId="3" xfId="0" applyBorder="1" applyAlignment="1"/>
    <xf numFmtId="0" fontId="8" fillId="0" borderId="3" xfId="0" applyFont="1" applyBorder="1" applyAlignment="1"/>
    <xf numFmtId="2" fontId="1" fillId="0" borderId="3" xfId="0" applyNumberFormat="1" applyFont="1" applyBorder="1" applyAlignment="1">
      <alignment horizontal="center"/>
    </xf>
    <xf numFmtId="0" fontId="0" fillId="0" borderId="1" xfId="0" applyBorder="1" applyProtection="1"/>
    <xf numFmtId="0" fontId="6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0" fillId="0" borderId="1" xfId="0" applyBorder="1" applyAlignment="1" applyProtection="1">
      <alignment horizontal="center"/>
    </xf>
    <xf numFmtId="0" fontId="9" fillId="0" borderId="0" xfId="0" applyFont="1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0" fillId="0" borderId="0" xfId="0" applyFill="1" applyProtection="1"/>
    <xf numFmtId="0" fontId="4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center"/>
    </xf>
    <xf numFmtId="0" fontId="14" fillId="0" borderId="0" xfId="0" applyFont="1" applyProtection="1"/>
    <xf numFmtId="0" fontId="12" fillId="0" borderId="1" xfId="0" applyFont="1" applyBorder="1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Border="1" applyAlignment="1" applyProtection="1">
      <alignment horizontal="center"/>
    </xf>
    <xf numFmtId="0" fontId="4" fillId="0" borderId="0" xfId="0" applyFont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0" fillId="0" borderId="0" xfId="0" applyBorder="1"/>
    <xf numFmtId="2" fontId="17" fillId="0" borderId="1" xfId="0" applyNumberFormat="1" applyFont="1" applyBorder="1" applyAlignment="1">
      <alignment horizontal="center"/>
    </xf>
    <xf numFmtId="0" fontId="13" fillId="0" borderId="1" xfId="0" applyFont="1" applyBorder="1" applyProtection="1"/>
    <xf numFmtId="2" fontId="17" fillId="0" borderId="1" xfId="0" applyNumberFormat="1" applyFont="1" applyBorder="1"/>
    <xf numFmtId="0" fontId="0" fillId="0" borderId="0" xfId="0" applyBorder="1" applyAlignment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1" fillId="0" borderId="0" xfId="0" applyFont="1" applyProtection="1"/>
    <xf numFmtId="0" fontId="12" fillId="0" borderId="0" xfId="0" applyFont="1" applyProtection="1"/>
    <xf numFmtId="0" fontId="11" fillId="0" borderId="0" xfId="0" applyFont="1" applyAlignment="1" applyProtection="1">
      <alignment horizontal="center"/>
    </xf>
    <xf numFmtId="0" fontId="5" fillId="0" borderId="0" xfId="0" applyFont="1" applyProtection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/>
    <xf numFmtId="0" fontId="17" fillId="0" borderId="1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0" xfId="0" applyFont="1" applyProtection="1"/>
    <xf numFmtId="0" fontId="0" fillId="3" borderId="1" xfId="0" applyFill="1" applyBorder="1" applyAlignment="1" applyProtection="1">
      <alignment horizontal="center"/>
      <protection locked="0"/>
    </xf>
    <xf numFmtId="165" fontId="16" fillId="0" borderId="4" xfId="0" applyNumberFormat="1" applyFont="1" applyBorder="1" applyAlignment="1"/>
    <xf numFmtId="0" fontId="12" fillId="0" borderId="0" xfId="0" applyFont="1" applyAlignment="1" applyProtection="1">
      <alignment horizontal="left"/>
    </xf>
    <xf numFmtId="0" fontId="12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12" fillId="0" borderId="0" xfId="0" applyFont="1" applyFill="1" applyAlignment="1" applyProtection="1">
      <alignment horizontal="left"/>
    </xf>
    <xf numFmtId="1" fontId="0" fillId="0" borderId="0" xfId="0" applyNumberFormat="1" applyProtection="1"/>
    <xf numFmtId="0" fontId="2" fillId="0" borderId="0" xfId="0" applyFont="1" applyAlignment="1" applyProtection="1">
      <alignment horizontal="left"/>
    </xf>
    <xf numFmtId="164" fontId="12" fillId="0" borderId="1" xfId="0" applyNumberFormat="1" applyFont="1" applyBorder="1" applyAlignment="1" applyProtection="1">
      <alignment horizontal="center"/>
    </xf>
    <xf numFmtId="0" fontId="20" fillId="0" borderId="0" xfId="0" applyFont="1" applyProtection="1"/>
    <xf numFmtId="0" fontId="4" fillId="0" borderId="0" xfId="0" applyFont="1" applyFill="1" applyBorder="1" applyProtection="1"/>
    <xf numFmtId="0" fontId="7" fillId="0" borderId="1" xfId="0" applyFont="1" applyBorder="1" applyAlignment="1">
      <alignment wrapText="1"/>
    </xf>
    <xf numFmtId="0" fontId="21" fillId="0" borderId="1" xfId="0" applyFont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22" fillId="0" borderId="1" xfId="0" applyFont="1" applyBorder="1" applyAlignment="1">
      <alignment horizontal="center"/>
    </xf>
    <xf numFmtId="0" fontId="23" fillId="0" borderId="0" xfId="0" applyFont="1" applyProtection="1"/>
    <xf numFmtId="0" fontId="0" fillId="0" borderId="0" xfId="0" applyBorder="1" applyAlignment="1"/>
    <xf numFmtId="0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4" fillId="0" borderId="0" xfId="0" applyFont="1" applyBorder="1" applyAlignment="1"/>
    <xf numFmtId="0" fontId="0" fillId="0" borderId="0" xfId="0" applyBorder="1" applyAlignment="1"/>
    <xf numFmtId="0" fontId="1" fillId="3" borderId="6" xfId="0" applyFont="1" applyFill="1" applyBorder="1" applyAlignment="1" applyProtection="1"/>
    <xf numFmtId="0" fontId="5" fillId="0" borderId="0" xfId="0" applyFont="1" applyAlignment="1" applyProtection="1">
      <alignment horizontal="center"/>
    </xf>
    <xf numFmtId="164" fontId="21" fillId="0" borderId="1" xfId="0" applyNumberFormat="1" applyFont="1" applyBorder="1" applyAlignment="1" applyProtection="1">
      <alignment horizontal="center"/>
    </xf>
    <xf numFmtId="0" fontId="21" fillId="0" borderId="5" xfId="0" applyFont="1" applyFill="1" applyBorder="1" applyAlignment="1" applyProtection="1">
      <alignment horizontal="center"/>
    </xf>
    <xf numFmtId="164" fontId="21" fillId="0" borderId="0" xfId="0" applyNumberFormat="1" applyFont="1" applyAlignment="1" applyProtection="1">
      <alignment horizontal="center"/>
    </xf>
    <xf numFmtId="0" fontId="1" fillId="3" borderId="1" xfId="0" applyFont="1" applyFill="1" applyBorder="1" applyAlignment="1" applyProtection="1">
      <alignment horizontal="left"/>
    </xf>
    <xf numFmtId="0" fontId="26" fillId="6" borderId="0" xfId="0" applyFont="1" applyFill="1" applyBorder="1" applyAlignment="1" applyProtection="1">
      <alignment horizontal="left"/>
    </xf>
    <xf numFmtId="0" fontId="27" fillId="0" borderId="0" xfId="0" applyFont="1" applyBorder="1" applyAlignment="1"/>
    <xf numFmtId="0" fontId="6" fillId="0" borderId="0" xfId="0" applyFont="1" applyBorder="1" applyAlignment="1"/>
    <xf numFmtId="0" fontId="13" fillId="3" borderId="1" xfId="0" applyFont="1" applyFill="1" applyBorder="1" applyAlignment="1" applyProtection="1">
      <alignment horizontal="left"/>
    </xf>
    <xf numFmtId="0" fontId="16" fillId="0" borderId="0" xfId="0" applyFont="1" applyBorder="1" applyAlignment="1"/>
    <xf numFmtId="0" fontId="26" fillId="0" borderId="0" xfId="0" applyFont="1" applyFill="1" applyBorder="1" applyAlignment="1" applyProtection="1">
      <alignment horizontal="left"/>
    </xf>
    <xf numFmtId="0" fontId="0" fillId="0" borderId="0" xfId="0" applyFill="1" applyBorder="1" applyAlignment="1"/>
    <xf numFmtId="0" fontId="0" fillId="0" borderId="0" xfId="0" applyFill="1" applyBorder="1"/>
    <xf numFmtId="0" fontId="16" fillId="0" borderId="0" xfId="0" applyFont="1" applyFill="1" applyBorder="1" applyAlignment="1"/>
    <xf numFmtId="0" fontId="15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NumberFormat="1" applyBorder="1" applyAlignment="1">
      <alignment horizontal="left"/>
    </xf>
    <xf numFmtId="0" fontId="27" fillId="0" borderId="1" xfId="0" applyFont="1" applyBorder="1"/>
    <xf numFmtId="0" fontId="27" fillId="0" borderId="1" xfId="0" applyFont="1" applyBorder="1" applyAlignment="1"/>
    <xf numFmtId="0" fontId="27" fillId="0" borderId="1" xfId="0" applyFont="1" applyFill="1" applyBorder="1" applyAlignment="1"/>
    <xf numFmtId="0" fontId="28" fillId="0" borderId="1" xfId="0" applyFont="1" applyFill="1" applyBorder="1" applyAlignment="1">
      <alignment horizontal="left"/>
    </xf>
    <xf numFmtId="2" fontId="28" fillId="0" borderId="1" xfId="0" applyNumberFormat="1" applyFont="1" applyFill="1" applyBorder="1" applyAlignment="1">
      <alignment horizontal="left"/>
    </xf>
    <xf numFmtId="0" fontId="28" fillId="0" borderId="1" xfId="0" applyNumberFormat="1" applyFont="1" applyBorder="1" applyAlignment="1">
      <alignment horizontal="left"/>
    </xf>
    <xf numFmtId="0" fontId="28" fillId="0" borderId="0" xfId="0" applyNumberFormat="1" applyFont="1" applyBorder="1" applyAlignment="1">
      <alignment horizontal="left"/>
    </xf>
    <xf numFmtId="0" fontId="27" fillId="0" borderId="0" xfId="0" applyFont="1" applyBorder="1" applyAlignment="1" applyProtection="1"/>
    <xf numFmtId="0" fontId="27" fillId="0" borderId="1" xfId="0" applyFont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center" wrapText="1"/>
    </xf>
    <xf numFmtId="0" fontId="27" fillId="0" borderId="1" xfId="0" applyFont="1" applyBorder="1" applyAlignment="1">
      <alignment horizontal="center" wrapText="1"/>
    </xf>
    <xf numFmtId="0" fontId="17" fillId="0" borderId="1" xfId="0" applyNumberFormat="1" applyFont="1" applyBorder="1" applyAlignment="1">
      <alignment horizontal="center" wrapText="1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Border="1" applyProtection="1"/>
    <xf numFmtId="0" fontId="0" fillId="3" borderId="3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12" fillId="0" borderId="0" xfId="0" applyFont="1" applyFill="1" applyProtection="1"/>
    <xf numFmtId="0" fontId="1" fillId="3" borderId="7" xfId="0" applyFont="1" applyFill="1" applyBorder="1" applyAlignment="1" applyProtection="1"/>
    <xf numFmtId="0" fontId="8" fillId="3" borderId="3" xfId="0" applyFont="1" applyFill="1" applyBorder="1" applyAlignment="1" applyProtection="1">
      <protection locked="0"/>
    </xf>
    <xf numFmtId="0" fontId="8" fillId="0" borderId="11" xfId="0" applyFont="1" applyBorder="1" applyProtection="1"/>
    <xf numFmtId="0" fontId="8" fillId="3" borderId="12" xfId="0" applyFont="1" applyFill="1" applyBorder="1" applyAlignment="1" applyProtection="1">
      <alignment horizontal="left"/>
      <protection locked="0"/>
    </xf>
    <xf numFmtId="0" fontId="8" fillId="3" borderId="4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8" fillId="0" borderId="0" xfId="0" applyFont="1" applyProtection="1"/>
    <xf numFmtId="0" fontId="1" fillId="3" borderId="6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/>
    <xf numFmtId="0" fontId="30" fillId="0" borderId="0" xfId="0" applyFont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30" fillId="0" borderId="6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2" fontId="29" fillId="0" borderId="1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 applyProtection="1">
      <alignment horizontal="center" vertical="center" wrapText="1"/>
    </xf>
    <xf numFmtId="2" fontId="24" fillId="3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2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8" fillId="3" borderId="9" xfId="0" applyFont="1" applyFill="1" applyBorder="1" applyAlignment="1" applyProtection="1">
      <protection locked="0"/>
    </xf>
    <xf numFmtId="0" fontId="1" fillId="3" borderId="9" xfId="0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0" fillId="3" borderId="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/>
    <xf numFmtId="0" fontId="8" fillId="0" borderId="7" xfId="0" applyFont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 applyAlignment="1"/>
    <xf numFmtId="0" fontId="8" fillId="0" borderId="8" xfId="0" applyFont="1" applyBorder="1" applyAlignment="1"/>
    <xf numFmtId="0" fontId="8" fillId="0" borderId="4" xfId="0" applyFont="1" applyBorder="1" applyAlignment="1"/>
    <xf numFmtId="0" fontId="8" fillId="0" borderId="9" xfId="0" applyFont="1" applyBorder="1" applyAlignment="1"/>
    <xf numFmtId="165" fontId="15" fillId="0" borderId="8" xfId="0" applyNumberFormat="1" applyFont="1" applyBorder="1" applyAlignment="1">
      <alignment horizontal="center"/>
    </xf>
    <xf numFmtId="165" fontId="16" fillId="0" borderId="9" xfId="0" applyNumberFormat="1" applyFont="1" applyBorder="1" applyAlignment="1"/>
    <xf numFmtId="0" fontId="15" fillId="0" borderId="8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8" fillId="0" borderId="6" xfId="0" applyFont="1" applyBorder="1" applyAlignment="1"/>
    <xf numFmtId="0" fontId="8" fillId="0" borderId="3" xfId="0" applyFont="1" applyBorder="1" applyAlignment="1"/>
    <xf numFmtId="0" fontId="15" fillId="0" borderId="6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8" fillId="0" borderId="10" xfId="0" applyFont="1" applyBorder="1" applyAlignment="1"/>
  </cellXfs>
  <cellStyles count="1">
    <cellStyle name="Normal" xfId="0" builtinId="0"/>
  </cellStyles>
  <dxfs count="3">
    <dxf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B1" zoomScale="115" workbookViewId="0">
      <selection activeCell="B7" sqref="B7"/>
    </sheetView>
  </sheetViews>
  <sheetFormatPr defaultRowHeight="12.75" x14ac:dyDescent="0.2"/>
  <cols>
    <col min="1" max="1" width="33" style="16" hidden="1" customWidth="1"/>
    <col min="2" max="2" width="31.7109375" style="16" customWidth="1"/>
    <col min="3" max="3" width="9.7109375" style="16" hidden="1" customWidth="1"/>
    <col min="4" max="4" width="10.7109375" style="16" hidden="1" customWidth="1"/>
    <col min="5" max="5" width="7" style="16" customWidth="1"/>
    <col min="6" max="6" width="10.28515625" style="16" customWidth="1"/>
    <col min="7" max="7" width="8.140625" style="16" customWidth="1"/>
    <col min="8" max="8" width="10.28515625" style="16" bestFit="1" customWidth="1"/>
    <col min="9" max="9" width="7.5703125" style="16" bestFit="1" customWidth="1"/>
    <col min="10" max="10" width="12.7109375" style="16" customWidth="1"/>
    <col min="11" max="11" width="13.140625" style="16" customWidth="1"/>
    <col min="12" max="12" width="19.28515625" style="16" customWidth="1"/>
    <col min="13" max="13" width="11" style="16" bestFit="1" customWidth="1"/>
    <col min="14" max="14" width="9.140625" style="20"/>
    <col min="15" max="15" width="9.7109375" style="20" customWidth="1"/>
    <col min="16" max="16384" width="9.140625" style="16"/>
  </cols>
  <sheetData>
    <row r="1" spans="1:15" ht="15.75" x14ac:dyDescent="0.25">
      <c r="B1" s="15" t="s">
        <v>49</v>
      </c>
      <c r="C1" s="15"/>
      <c r="D1" s="15"/>
      <c r="L1" s="73" t="s">
        <v>141</v>
      </c>
    </row>
    <row r="2" spans="1:15" ht="14.25" customHeight="1" x14ac:dyDescent="0.2">
      <c r="B2" s="80" t="s">
        <v>113</v>
      </c>
      <c r="C2" s="115"/>
      <c r="D2" s="116"/>
      <c r="E2" s="119"/>
      <c r="F2" s="149"/>
      <c r="G2" s="150"/>
      <c r="H2" s="150"/>
      <c r="I2" s="150"/>
    </row>
    <row r="3" spans="1:15" x14ac:dyDescent="0.2">
      <c r="B3" s="117" t="s">
        <v>1</v>
      </c>
      <c r="C3" s="118"/>
      <c r="D3" s="119"/>
      <c r="E3" s="122"/>
      <c r="F3" s="120"/>
      <c r="G3" s="120"/>
      <c r="H3" s="112"/>
      <c r="I3" s="113"/>
      <c r="K3" s="129" t="s">
        <v>0</v>
      </c>
      <c r="L3" s="77"/>
    </row>
    <row r="4" spans="1:15" x14ac:dyDescent="0.2">
      <c r="B4" s="121" t="s">
        <v>118</v>
      </c>
      <c r="C4" s="122"/>
      <c r="D4" s="123"/>
      <c r="E4" s="80"/>
      <c r="F4" s="123"/>
      <c r="G4" s="123"/>
      <c r="H4" s="115"/>
      <c r="I4" s="39"/>
      <c r="J4" s="39"/>
      <c r="K4" s="22"/>
      <c r="L4" s="39"/>
      <c r="M4" s="38"/>
    </row>
    <row r="5" spans="1:15" x14ac:dyDescent="0.2">
      <c r="B5" s="40"/>
      <c r="C5" s="40"/>
      <c r="D5" s="40"/>
      <c r="E5" s="40"/>
      <c r="F5" s="40"/>
      <c r="G5" s="40"/>
      <c r="H5" s="25"/>
      <c r="I5" s="25"/>
      <c r="J5" s="25"/>
      <c r="K5" s="25"/>
    </row>
    <row r="6" spans="1:15" s="53" customFormat="1" ht="38.25" customHeight="1" x14ac:dyDescent="0.2">
      <c r="B6" s="124" t="s">
        <v>50</v>
      </c>
      <c r="C6" s="124" t="s">
        <v>83</v>
      </c>
      <c r="D6" s="124" t="s">
        <v>53</v>
      </c>
      <c r="E6" s="124" t="s">
        <v>112</v>
      </c>
      <c r="F6" s="124" t="s">
        <v>53</v>
      </c>
      <c r="G6" s="125" t="s">
        <v>48</v>
      </c>
      <c r="H6" s="124" t="s">
        <v>73</v>
      </c>
      <c r="I6" s="124" t="s">
        <v>7</v>
      </c>
      <c r="J6" s="124" t="s">
        <v>53</v>
      </c>
      <c r="K6" s="126" t="s">
        <v>55</v>
      </c>
      <c r="L6" s="126" t="s">
        <v>117</v>
      </c>
    </row>
    <row r="7" spans="1:15" ht="23.25" customHeight="1" x14ac:dyDescent="0.2">
      <c r="A7" s="67"/>
      <c r="B7" s="137"/>
      <c r="C7" s="138"/>
      <c r="D7" s="139" t="str">
        <f>IF(B7&gt;0,LOOKUP(B7,'Emission Factors'!A2:A8,'Emission Factors'!D2:D8)&amp;"/hr", " ")</f>
        <v xml:space="preserve"> </v>
      </c>
      <c r="E7" s="140"/>
      <c r="F7" s="141" t="str">
        <f>IF(B7&gt;0,LOOKUP(B7,'Emission Factors'!A2:A8,'Emission Factors'!D2:D8)," ")</f>
        <v xml:space="preserve"> </v>
      </c>
      <c r="G7" s="142" t="str">
        <f>IF(B7&gt;0,LOOKUP(B7,'Emission Factors'!A2:A8,'Emission Factors'!AG2:AG8)," ")</f>
        <v xml:space="preserve"> </v>
      </c>
      <c r="H7" s="130" t="s">
        <v>43</v>
      </c>
      <c r="I7" s="131" t="str">
        <f>IF(B7=0," ",IF(LOOKUP(B7,'Emission Factors'!A2:A8,'Emission Factors'!F2:F8)&gt;0,LOOKUP(B7,'Emission Factors'!A2:A8,'Emission Factors'!F2:F8)," "))</f>
        <v xml:space="preserve"> </v>
      </c>
      <c r="J7" s="132" t="str">
        <f>IF(B7=0," ",IF(LOOKUP(B7,'Emission Factors'!A2:A8,'Emission Factors'!F2:F8)&gt;0,LOOKUP($B$7,'Emission Factors'!$A$2:$A$8,'Emission Factors'!$E$2:$E$8)," "))</f>
        <v xml:space="preserve"> </v>
      </c>
      <c r="K7" s="136" t="str">
        <f>IF(B7=0," ",IF(LOOKUP(B7,'Emission Factors'!A2:A8,'Emission Factors'!F2:F8)&gt;0,LOOKUP($B$7,'Emission Factors'!$A$2:$A$8,'Emission Factors'!G2:G8)," "))</f>
        <v xml:space="preserve"> </v>
      </c>
      <c r="L7" s="133" t="str">
        <f>IF($B$7=0," ",IF(LOOKUP($B$7,'Emission Factors'!A2:A8,'Emission Factors'!G2:G8)&gt;0,LOOKUP($B$7,'Emission Factors'!$A$2:$A$8,'Emission Factors'!H2:H8)," "))</f>
        <v xml:space="preserve"> </v>
      </c>
    </row>
    <row r="8" spans="1:15" s="27" customFormat="1" ht="21" customHeight="1" x14ac:dyDescent="0.2">
      <c r="B8" s="143" t="str">
        <f>IF(B7="Boiler &lt; 100 MMBtu/hr (No. 2 Fuel Oil)","% Sulfur in Fuel Oil:",IF(B7="Stationary Diesel Engine &gt; 600 bhp","% Sulfur in Fuel Oil:",IF(B7="Commercial Boiler (Propane)","Sulfur Content in gr/100 cubic ft:",IF(B7="Industrial Boiler (Propane)","Sulfur Content in gr/100 cubic ft:"," "))))</f>
        <v xml:space="preserve"> </v>
      </c>
      <c r="D8" s="143"/>
      <c r="E8" s="144"/>
      <c r="G8" s="145"/>
      <c r="H8" s="130" t="s">
        <v>29</v>
      </c>
      <c r="I8" s="131" t="str">
        <f>IF(B7=0," ",IF(LOOKUP(B7,'Emission Factors'!A2:A8,'Emission Factors'!I2:I8)&gt;0,LOOKUP(B7,'Emission Factors'!A2:A8,'Emission Factors'!I2:I8)," "))</f>
        <v xml:space="preserve"> </v>
      </c>
      <c r="J8" s="132" t="str">
        <f>IF(B7=0," ",IF(LOOKUP(B7,'Emission Factors'!A2:A8,'Emission Factors'!I2:I8)&gt;0,LOOKUP($B$7,'Emission Factors'!$A$2:$A$8,'Emission Factors'!$E$2:$E$8)," "))</f>
        <v xml:space="preserve"> </v>
      </c>
      <c r="K8" s="136" t="str">
        <f>IF(B7=0," ",IF(LOOKUP(B7,'Emission Factors'!A2:A8,'Emission Factors'!I2:I8)&gt;0,LOOKUP($B$7,'Emission Factors'!$A$2:$A$8,'Emission Factors'!J2:J8)," "))</f>
        <v xml:space="preserve"> </v>
      </c>
      <c r="L8" s="133" t="str">
        <f>IF(B7=0," ",IF(LOOKUP(B7,'Emission Factors'!A2:A8,'Emission Factors'!J2:J8)&gt;0,LOOKUP($B$7,'Emission Factors'!$A$2:$A$8,'Emission Factors'!K2:K8)," "))</f>
        <v xml:space="preserve"> </v>
      </c>
      <c r="N8" s="28"/>
      <c r="O8" s="28"/>
    </row>
    <row r="9" spans="1:15" ht="21" customHeight="1" x14ac:dyDescent="0.2">
      <c r="A9" s="43" t="e">
        <f>LOOKUP(B7,'Emission Factors'!A2:A8, 'Emission Factors'!B2:B8)</f>
        <v>#N/A</v>
      </c>
      <c r="B9" s="151" t="str">
        <f>IF(B7="Internal Combustion Engine (Natural Gas)","Control Equipment - Enter (N) for Non-Catalytic Reduction or (C) for Catalytic Reduction:"," ")</f>
        <v xml:space="preserve"> </v>
      </c>
      <c r="C9" s="143"/>
      <c r="D9" s="146"/>
      <c r="E9" s="147"/>
      <c r="G9" s="145"/>
      <c r="H9" s="130" t="s">
        <v>18</v>
      </c>
      <c r="I9" s="131" t="str">
        <f>IF(B7=0," ",IF(LOOKUP(B7,'Emission Factors'!A2:A8,'Emission Factors'!L2:L8)&gt;0,LOOKUP(B7,'Emission Factors'!A2:A8,'Emission Factors'!L2:L8)," "))</f>
        <v xml:space="preserve"> </v>
      </c>
      <c r="J9" s="132" t="str">
        <f>IF(B7=0," ",IF(LOOKUP(B7,'Emission Factors'!A2:A8,'Emission Factors'!L2:L8)&gt;0,LOOKUP($B$7,'Emission Factors'!$A$2:$A$8,'Emission Factors'!$E$2:$E$8)," "))</f>
        <v xml:space="preserve"> </v>
      </c>
      <c r="K9" s="136" t="str">
        <f>IF(B7=0," ",IF(B7=0," ",IF(LOOKUP(B7,'Emission Factors'!A2:A8,'Emission Factors'!L2:L8)&gt;0,LOOKUP($B$7,'Emission Factors'!$A$2:$A$8,'Emission Factors'!M2:M8)," ")))</f>
        <v xml:space="preserve"> </v>
      </c>
      <c r="L9" s="133" t="str">
        <f>IF(B7=0," ",IF(B7=0," ",IF(LOOKUP(B7,'Emission Factors'!A2:A8,'Emission Factors'!M2:M8)&gt;0,LOOKUP($B$7,'Emission Factors'!$A$2:$A$8,'Emission Factors'!N2:N8)," ")))</f>
        <v xml:space="preserve"> </v>
      </c>
      <c r="N9" s="21"/>
    </row>
    <row r="10" spans="1:15" s="25" customFormat="1" ht="21" customHeight="1" x14ac:dyDescent="0.2">
      <c r="A10" s="43" t="e">
        <f>LOOKUP(B7,'Emission Factors'!A2:A8, 'Emission Factors'!C2:C8)</f>
        <v>#N/A</v>
      </c>
      <c r="B10" s="148"/>
      <c r="C10" s="148"/>
      <c r="D10" s="148"/>
      <c r="E10" s="148" t="s">
        <v>101</v>
      </c>
      <c r="F10" s="148"/>
      <c r="G10" s="148"/>
      <c r="H10" s="130" t="s">
        <v>19</v>
      </c>
      <c r="I10" s="131" t="str">
        <f>IF(B7=0," ",IF(LOOKUP(B7,'Emission Factors'!A2:A8,'Emission Factors'!O2:O8)&gt;0,LOOKUP(B7,'Emission Factors'!A2:A8,'Emission Factors'!O2:O8)," "))</f>
        <v xml:space="preserve"> </v>
      </c>
      <c r="J10" s="132" t="str">
        <f>IF(B7=0," ",IF(LOOKUP(B7,'Emission Factors'!A2:A8,'Emission Factors'!O2:O8)&gt;0,LOOKUP($B$7,'Emission Factors'!$A$2:$A$8,'Emission Factors'!$E$2:$E$8)," "))</f>
        <v xml:space="preserve"> </v>
      </c>
      <c r="K10" s="136" t="str">
        <f>IF(B7=0," ",IF(LOOKUP(B7,'Emission Factors'!A2:A8,'Emission Factors'!O2:O8)&gt;0,LOOKUP($B$7,'Emission Factors'!$A$2:$A$8,'Emission Factors'!P2:P8)," "))</f>
        <v xml:space="preserve"> </v>
      </c>
      <c r="L10" s="133" t="str">
        <f>IF(B7=0," ",IF(LOOKUP(B7,'Emission Factors'!A2:A8,'Emission Factors'!P2:P8)&gt;0,LOOKUP($B$7,'Emission Factors'!$A$2:$A$8,'Emission Factors'!Q2:Q8)," "))</f>
        <v xml:space="preserve"> </v>
      </c>
      <c r="N10" s="24"/>
      <c r="O10" s="24"/>
    </row>
    <row r="11" spans="1:15" s="25" customFormat="1" ht="21" customHeight="1" x14ac:dyDescent="0.2">
      <c r="B11" s="16"/>
      <c r="C11" s="16"/>
      <c r="D11" s="16"/>
      <c r="E11" s="16"/>
      <c r="F11" s="16"/>
      <c r="G11" s="16"/>
      <c r="H11" s="130" t="s">
        <v>20</v>
      </c>
      <c r="I11" s="131" t="str">
        <f>IF(B7=0," ",IF(LOOKUP(B7,'Emission Factors'!A2:A8,'Emission Factors'!R2:R8)&gt;0,LOOKUP(B7,'Emission Factors'!A2:A8,'Emission Factors'!R2:R8)," "))</f>
        <v xml:space="preserve"> </v>
      </c>
      <c r="J11" s="132" t="str">
        <f>IF(B7=0," ",IF(LOOKUP(B7,'Emission Factors'!A2:A8,'Emission Factors'!R2:R8)&gt;0,LOOKUP($B$7,'Emission Factors'!$A$2:$A$8,'Emission Factors'!$E$2:$E$8)," "))</f>
        <v xml:space="preserve"> </v>
      </c>
      <c r="K11" s="136" t="str">
        <f>IF(B7=0," ",IF(LOOKUP(B7,'Emission Factors'!A2:A8,'Emission Factors'!R2:R8)&gt;0,LOOKUP($B$7,'Emission Factors'!$A$2:$A$8,'Emission Factors'!S2:S8)," "))</f>
        <v xml:space="preserve"> </v>
      </c>
      <c r="L11" s="133" t="str">
        <f>IF(B7=0," ",IF(LOOKUP(B7,'Emission Factors'!A2:A8,'Emission Factors'!S2:S8)&gt;0,LOOKUP($B$7,'Emission Factors'!$A$2:$A$8,'Emission Factors'!T2:T8)," "))</f>
        <v xml:space="preserve"> </v>
      </c>
      <c r="M11" s="24"/>
      <c r="N11" s="24"/>
    </row>
    <row r="12" spans="1:15" ht="21" customHeight="1" x14ac:dyDescent="0.2">
      <c r="A12" s="58" t="s">
        <v>70</v>
      </c>
      <c r="H12" s="130" t="s">
        <v>21</v>
      </c>
      <c r="I12" s="131" t="str">
        <f>IF(B7=0," ",IF(LOOKUP(B7,'Emission Factors'!A2:A8,'Emission Factors'!U2:U8)&gt;0,LOOKUP(B7,'Emission Factors'!A2:A8,'Emission Factors'!U2:U8)," "))</f>
        <v xml:space="preserve"> </v>
      </c>
      <c r="J12" s="132" t="str">
        <f>IF(B7=0," ",IF(LOOKUP(B7,'Emission Factors'!A2:A8,'Emission Factors'!U2:U8)&gt;0,LOOKUP($B$7,'Emission Factors'!$A$2:$A$8,'Emission Factors'!$E$2:$E$8)," "))</f>
        <v xml:space="preserve"> </v>
      </c>
      <c r="K12" s="136" t="str">
        <f>IF(B7=0," ",IF(LOOKUP(B7,'Emission Factors'!A2:A8,'Emission Factors'!U2:U8)&gt;0,LOOKUP($B$7,'Emission Factors'!$A$2:$A$8,'Emission Factors'!V2:V8)," "))</f>
        <v xml:space="preserve"> </v>
      </c>
      <c r="L12" s="133" t="str">
        <f>IF(B7=0," ",IF(LOOKUP(B7,'Emission Factors'!A2:A8,'Emission Factors'!V2:V8)&gt;0,LOOKUP($B$7,'Emission Factors'!$A$2:$A$8,'Emission Factors'!W2:W8)," "))</f>
        <v xml:space="preserve"> </v>
      </c>
      <c r="N12" s="16"/>
      <c r="O12" s="16"/>
    </row>
    <row r="13" spans="1:15" ht="21" customHeight="1" x14ac:dyDescent="0.2">
      <c r="A13" s="58" t="s">
        <v>68</v>
      </c>
      <c r="H13" s="130" t="s">
        <v>23</v>
      </c>
      <c r="I13" s="134" t="str">
        <f>IF(B7=0," ",IF(E9="N",1.8,IF(E9="C",9.1,IF(LOOKUP(B7,'Emission Factors'!A2:A8,'Emission Factors'!X2:X8)&gt;0,LOOKUP(B7,'Emission Factors'!A2:A8,'Emission Factors'!X2:X8)," "))))</f>
        <v xml:space="preserve"> </v>
      </c>
      <c r="J13" s="132" t="str">
        <f>IF(B7=0," ",IF(LOOKUP(B7,'Emission Factors'!A2:A8,'Emission Factors'!X2:X8)&gt;0,LOOKUP($B$7,'Emission Factors'!$A$2:$A$8,'Emission Factors'!$E$2:$E$8)," "))</f>
        <v xml:space="preserve"> </v>
      </c>
      <c r="K13" s="136" t="str">
        <f>IF(B7=0," ",IF(LOOKUP(B7,'Emission Factors'!A2:A8,'Emission Factors'!X2:X8)&gt;0,LOOKUP($B$7,'Emission Factors'!$A$2:$A$8,'Emission Factors'!Y2:Y8)," "))</f>
        <v xml:space="preserve"> </v>
      </c>
      <c r="L13" s="133" t="str">
        <f>IF(B7=0," ",IF(LOOKUP(B7,'Emission Factors'!A2:A8,'Emission Factors'!Y2:Y8)&gt;0,LOOKUP($B$7,'Emission Factors'!$A$2:$A$8,'Emission Factors'!Z2:Z8)," "))</f>
        <v xml:space="preserve"> </v>
      </c>
      <c r="N13" s="16"/>
      <c r="O13" s="16"/>
    </row>
    <row r="14" spans="1:15" ht="21" customHeight="1" x14ac:dyDescent="0.2">
      <c r="A14" s="58" t="s">
        <v>78</v>
      </c>
      <c r="D14" s="42"/>
      <c r="H14" s="130" t="s">
        <v>59</v>
      </c>
      <c r="I14" s="134" t="str">
        <f>IF(B7=0," ",IF(LOOKUP(B7,'Emission Factors'!A2:A8,'Emission Factors'!AA2:AA8)&gt;0,LOOKUP(B7,'Emission Factors'!A2:A8,'Emission Factors'!AA2:AA8)," "))</f>
        <v xml:space="preserve"> </v>
      </c>
      <c r="J14" s="132" t="str">
        <f>IF(B7=0," ",IF(LOOKUP(B7,'Emission Factors'!A2:A8,'Emission Factors'!AA2:AA8)&gt;0,LOOKUP($B$7,'Emission Factors'!$A$2:$A$8,'Emission Factors'!$E$2:$E$8)," "))</f>
        <v xml:space="preserve"> </v>
      </c>
      <c r="K14" s="136" t="str">
        <f>IF(B7=0," ",IF(LOOKUP(B7,'Emission Factors'!A2:A8,'Emission Factors'!AA2:AA8)&gt;0,LOOKUP($B$7,'Emission Factors'!$A$2:$A$8,'Emission Factors'!AB2:AB8)," "))</f>
        <v xml:space="preserve"> </v>
      </c>
      <c r="L14" s="133" t="str">
        <f>IF(B7=0," ",IF(LOOKUP(B7,'Emission Factors'!A2:A8,'Emission Factors'!AB2:AB8)&gt;0,LOOKUP($B$7,'Emission Factors'!$A$2:$A$8,'Emission Factors'!AC2:AC8)," "))</f>
        <v xml:space="preserve"> </v>
      </c>
      <c r="N14" s="16"/>
      <c r="O14" s="16"/>
    </row>
    <row r="15" spans="1:15" ht="21" customHeight="1" x14ac:dyDescent="0.2">
      <c r="A15" s="58" t="s">
        <v>77</v>
      </c>
      <c r="B15" s="42"/>
      <c r="C15" s="42"/>
      <c r="H15" s="135" t="s">
        <v>108</v>
      </c>
      <c r="I15" s="131" t="str">
        <f>IF(B7=0," ",IF(LOOKUP(B7,'Emission Factors'!A2:A8,'Emission Factors'!AD2:AD8)&gt;0,LOOKUP(B7,'Emission Factors'!A2:A8,'Emission Factors'!AD2:AD8)," "))</f>
        <v xml:space="preserve"> </v>
      </c>
      <c r="J15" s="132" t="str">
        <f>IF(B7=0," ",IF(LOOKUP(B7,'Emission Factors'!A2:A8,'Emission Factors'!AD2:AD8)&gt;0,LOOKUP($B$7,'Emission Factors'!$A$2:$A$8,'Emission Factors'!$E$2:$E$8)," "))</f>
        <v xml:space="preserve"> </v>
      </c>
      <c r="K15" s="136" t="str">
        <f>IF(B7=0," ",IF(LOOKUP(B7,'Emission Factors'!A2:A8,'Emission Factors'!AD2:AD8)&gt;0,LOOKUP($B$7,'Emission Factors'!$A$2:$A$8,'Emission Factors'!AB2:AB8)," "))</f>
        <v xml:space="preserve"> </v>
      </c>
      <c r="L15" s="133" t="str">
        <f>IF(B7=0," ",IF(LOOKUP(B7,'Emission Factors'!A2:A8,'Emission Factors'!AE2:AE8)&gt;0,LOOKUP($B$7,'Emission Factors'!$A$2:$A$8,'Emission Factors'!AC2:AC8)," "))</f>
        <v xml:space="preserve"> </v>
      </c>
    </row>
    <row r="16" spans="1:15" x14ac:dyDescent="0.2">
      <c r="A16" s="58" t="s">
        <v>74</v>
      </c>
      <c r="I16" s="41"/>
    </row>
    <row r="17" spans="1:15" x14ac:dyDescent="0.2">
      <c r="A17" s="58" t="s">
        <v>65</v>
      </c>
    </row>
    <row r="18" spans="1:15" x14ac:dyDescent="0.2">
      <c r="A18" s="58" t="s">
        <v>61</v>
      </c>
      <c r="B18" s="23" t="s">
        <v>102</v>
      </c>
    </row>
    <row r="19" spans="1:15" x14ac:dyDescent="0.2">
      <c r="E19" s="127" t="s">
        <v>91</v>
      </c>
      <c r="F19" s="59"/>
      <c r="G19" s="70" t="s">
        <v>87</v>
      </c>
      <c r="H19" s="82">
        <f>F19/1000</f>
        <v>0</v>
      </c>
      <c r="I19" s="70" t="s">
        <v>88</v>
      </c>
      <c r="J19" s="55" t="s">
        <v>89</v>
      </c>
    </row>
    <row r="20" spans="1:15" x14ac:dyDescent="0.2">
      <c r="E20" s="128"/>
      <c r="F20" s="59"/>
      <c r="G20" s="70" t="s">
        <v>90</v>
      </c>
      <c r="H20" s="82">
        <f>F20/1000000</f>
        <v>0</v>
      </c>
      <c r="I20" s="70" t="s">
        <v>80</v>
      </c>
      <c r="J20" s="55" t="s">
        <v>97</v>
      </c>
    </row>
    <row r="21" spans="1:15" x14ac:dyDescent="0.2">
      <c r="E21" s="127" t="s">
        <v>98</v>
      </c>
      <c r="F21" s="59"/>
      <c r="G21" s="70" t="s">
        <v>87</v>
      </c>
      <c r="H21" s="82">
        <f>F21*0.14</f>
        <v>0</v>
      </c>
      <c r="I21" s="70" t="s">
        <v>81</v>
      </c>
      <c r="J21" s="55" t="s">
        <v>94</v>
      </c>
    </row>
    <row r="22" spans="1:15" x14ac:dyDescent="0.2">
      <c r="A22" s="58"/>
      <c r="E22" s="127"/>
      <c r="F22" s="59"/>
      <c r="G22" s="70" t="s">
        <v>81</v>
      </c>
      <c r="H22" s="82">
        <f>F22/0.14</f>
        <v>0</v>
      </c>
      <c r="I22" s="70" t="s">
        <v>87</v>
      </c>
      <c r="J22" s="55"/>
    </row>
    <row r="23" spans="1:15" x14ac:dyDescent="0.2">
      <c r="A23" s="58"/>
      <c r="E23" s="127" t="s">
        <v>92</v>
      </c>
      <c r="F23" s="59"/>
      <c r="G23" s="70" t="s">
        <v>90</v>
      </c>
      <c r="H23" s="82">
        <f>F23*0.00105</f>
        <v>0</v>
      </c>
      <c r="I23" s="70" t="s">
        <v>81</v>
      </c>
      <c r="J23" s="55" t="s">
        <v>95</v>
      </c>
    </row>
    <row r="24" spans="1:15" x14ac:dyDescent="0.2">
      <c r="A24" s="58"/>
      <c r="E24" s="127"/>
      <c r="F24" s="59"/>
      <c r="G24" s="70" t="s">
        <v>81</v>
      </c>
      <c r="H24" s="82">
        <f>F24/0.00105</f>
        <v>0</v>
      </c>
      <c r="I24" s="70" t="s">
        <v>90</v>
      </c>
      <c r="J24" s="55"/>
    </row>
    <row r="25" spans="1:15" x14ac:dyDescent="0.2">
      <c r="E25" s="127"/>
      <c r="F25" s="59"/>
      <c r="G25" s="83" t="s">
        <v>81</v>
      </c>
      <c r="H25" s="82">
        <f>F25/0.00105/1000000</f>
        <v>0</v>
      </c>
      <c r="I25" s="83" t="s">
        <v>80</v>
      </c>
      <c r="J25" s="55" t="s">
        <v>101</v>
      </c>
    </row>
    <row r="26" spans="1:15" x14ac:dyDescent="0.2">
      <c r="E26" s="127"/>
      <c r="F26" s="59"/>
      <c r="G26" s="83" t="s">
        <v>103</v>
      </c>
      <c r="H26" s="84">
        <f>F26*100000/1000000/0.00105/1000000</f>
        <v>0</v>
      </c>
      <c r="I26" s="83" t="s">
        <v>80</v>
      </c>
      <c r="J26" s="65" t="s">
        <v>104</v>
      </c>
    </row>
    <row r="27" spans="1:15" x14ac:dyDescent="0.2">
      <c r="E27" s="127" t="s">
        <v>99</v>
      </c>
      <c r="F27" s="59"/>
      <c r="G27" s="70" t="s">
        <v>87</v>
      </c>
      <c r="H27" s="82">
        <f>F27*0.14</f>
        <v>0</v>
      </c>
      <c r="I27" s="70" t="s">
        <v>81</v>
      </c>
      <c r="J27" s="55" t="s">
        <v>94</v>
      </c>
      <c r="N27" s="16"/>
      <c r="O27" s="16"/>
    </row>
    <row r="28" spans="1:15" x14ac:dyDescent="0.2">
      <c r="E28" s="127"/>
      <c r="F28" s="59"/>
      <c r="G28" s="70" t="s">
        <v>81</v>
      </c>
      <c r="H28" s="82">
        <f>F28/0.14</f>
        <v>0</v>
      </c>
      <c r="I28" s="70" t="s">
        <v>87</v>
      </c>
      <c r="J28" s="55"/>
    </row>
    <row r="29" spans="1:15" x14ac:dyDescent="0.2">
      <c r="E29" s="127" t="s">
        <v>93</v>
      </c>
      <c r="F29" s="59"/>
      <c r="G29" s="70" t="s">
        <v>87</v>
      </c>
      <c r="H29" s="82">
        <f>F29*0.0905</f>
        <v>0</v>
      </c>
      <c r="I29" s="70" t="s">
        <v>81</v>
      </c>
      <c r="J29" s="55" t="s">
        <v>96</v>
      </c>
    </row>
    <row r="30" spans="1:15" x14ac:dyDescent="0.2">
      <c r="F30" s="59"/>
      <c r="G30" s="70" t="s">
        <v>81</v>
      </c>
      <c r="H30" s="82">
        <f>F30/0.0905</f>
        <v>0</v>
      </c>
      <c r="I30" s="70" t="s">
        <v>87</v>
      </c>
    </row>
    <row r="32" spans="1:15" x14ac:dyDescent="0.2">
      <c r="E32" s="41"/>
      <c r="F32" s="41"/>
    </row>
    <row r="33" spans="6:6" x14ac:dyDescent="0.2">
      <c r="F33" s="41"/>
    </row>
  </sheetData>
  <sheetProtection algorithmName="SHA-512" hashValue="fcb0f0VpEV1TciI1K07kalsEJE3cOKAaAMLeAyNAQXdHKfSOx2jQ4cATzPeSNSKGenrMQ0KpPHEwTBrDCmEF+Q==" saltValue="+iy0RlMJuJ3gvVdq92x0xw==" spinCount="100000" sheet="1" objects="1" scenarios="1"/>
  <phoneticPr fontId="0" type="noConversion"/>
  <conditionalFormatting sqref="B8">
    <cfRule type="cellIs" dxfId="2" priority="2" stopIfTrue="1" operator="equal">
      <formula>$B$8=" "</formula>
    </cfRule>
  </conditionalFormatting>
  <conditionalFormatting sqref="E8">
    <cfRule type="cellIs" dxfId="1" priority="5" stopIfTrue="1" operator="equal">
      <formula>$B$8=" "</formula>
    </cfRule>
  </conditionalFormatting>
  <conditionalFormatting sqref="E9">
    <cfRule type="cellIs" dxfId="0" priority="6" stopIfTrue="1" operator="equal">
      <formula>$B$9=" "</formula>
    </cfRule>
  </conditionalFormatting>
  <dataValidations count="1">
    <dataValidation type="list" allowBlank="1" showInputMessage="1" showErrorMessage="1" sqref="B7" xr:uid="{00000000-0002-0000-0000-000000000000}">
      <formula1>$A$12:$A$18</formula1>
    </dataValidation>
  </dataValidations>
  <pageMargins left="0" right="0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115" workbookViewId="0">
      <selection activeCell="A32" sqref="A32"/>
    </sheetView>
  </sheetViews>
  <sheetFormatPr defaultRowHeight="12.75" x14ac:dyDescent="0.2"/>
  <cols>
    <col min="1" max="1" width="33.140625" style="16" customWidth="1"/>
    <col min="2" max="2" width="11.28515625" style="16" bestFit="1" customWidth="1"/>
    <col min="3" max="3" width="12.42578125" style="16" customWidth="1"/>
    <col min="4" max="4" width="9.140625" style="16"/>
    <col min="5" max="5" width="10.42578125" style="16" bestFit="1" customWidth="1"/>
    <col min="6" max="6" width="16" style="16" bestFit="1" customWidth="1"/>
    <col min="7" max="7" width="9.140625" style="16"/>
    <col min="8" max="8" width="6.5703125" style="16" bestFit="1" customWidth="1"/>
    <col min="9" max="9" width="10.42578125" style="16" bestFit="1" customWidth="1"/>
    <col min="10" max="10" width="16" style="16" bestFit="1" customWidth="1"/>
    <col min="11" max="16384" width="9.140625" style="16"/>
  </cols>
  <sheetData>
    <row r="1" spans="1:7" ht="15.75" x14ac:dyDescent="0.25">
      <c r="A1" s="15" t="s">
        <v>25</v>
      </c>
    </row>
    <row r="2" spans="1:7" x14ac:dyDescent="0.2">
      <c r="A2" s="23" t="s">
        <v>42</v>
      </c>
      <c r="B2" s="152"/>
      <c r="C2" s="153"/>
      <c r="D2" s="153"/>
      <c r="E2" s="153"/>
      <c r="F2" s="154"/>
    </row>
    <row r="4" spans="1:7" x14ac:dyDescent="0.2">
      <c r="A4" s="17" t="s">
        <v>40</v>
      </c>
    </row>
    <row r="5" spans="1:7" x14ac:dyDescent="0.2">
      <c r="B5" s="18" t="s">
        <v>26</v>
      </c>
      <c r="C5" s="18" t="s">
        <v>27</v>
      </c>
      <c r="G5" s="22"/>
    </row>
    <row r="6" spans="1:7" x14ac:dyDescent="0.2">
      <c r="A6" s="14" t="s">
        <v>28</v>
      </c>
      <c r="B6" s="56"/>
      <c r="C6" s="56"/>
    </row>
    <row r="7" spans="1:7" x14ac:dyDescent="0.2">
      <c r="A7" s="14" t="s">
        <v>29</v>
      </c>
      <c r="B7" s="56"/>
      <c r="C7" s="56"/>
    </row>
    <row r="8" spans="1:7" x14ac:dyDescent="0.2">
      <c r="A8" s="14" t="s">
        <v>30</v>
      </c>
      <c r="B8" s="56"/>
      <c r="C8" s="56"/>
    </row>
    <row r="9" spans="1:7" x14ac:dyDescent="0.2">
      <c r="A9" s="14" t="s">
        <v>36</v>
      </c>
      <c r="B9" s="56"/>
      <c r="C9" s="56"/>
    </row>
    <row r="10" spans="1:7" x14ac:dyDescent="0.2">
      <c r="A10" s="14" t="s">
        <v>31</v>
      </c>
      <c r="B10" s="56"/>
      <c r="C10" s="56"/>
    </row>
    <row r="11" spans="1:7" x14ac:dyDescent="0.2">
      <c r="A11" s="14" t="s">
        <v>32</v>
      </c>
      <c r="B11" s="56"/>
      <c r="C11" s="56"/>
    </row>
    <row r="12" spans="1:7" x14ac:dyDescent="0.2">
      <c r="A12" s="14" t="s">
        <v>33</v>
      </c>
      <c r="B12" s="56"/>
      <c r="C12" s="56"/>
    </row>
    <row r="13" spans="1:7" x14ac:dyDescent="0.2">
      <c r="A13" s="14" t="s">
        <v>34</v>
      </c>
      <c r="B13" s="56"/>
      <c r="C13" s="56"/>
    </row>
    <row r="14" spans="1:7" x14ac:dyDescent="0.2">
      <c r="A14" s="14" t="s">
        <v>35</v>
      </c>
      <c r="B14" s="56"/>
      <c r="C14" s="56"/>
    </row>
    <row r="16" spans="1:7" x14ac:dyDescent="0.2">
      <c r="A16" s="17" t="s">
        <v>39</v>
      </c>
      <c r="D16" s="19"/>
    </row>
    <row r="17" spans="1:7" x14ac:dyDescent="0.2">
      <c r="A17" s="35" t="s">
        <v>47</v>
      </c>
      <c r="B17" s="56"/>
      <c r="C17" s="18" t="str">
        <f>Combustion!F7&amp;"/Hr"</f>
        <v xml:space="preserve"> /Hr</v>
      </c>
      <c r="D17" s="19"/>
    </row>
    <row r="18" spans="1:7" x14ac:dyDescent="0.2">
      <c r="A18" s="14" t="s">
        <v>84</v>
      </c>
      <c r="B18" s="56"/>
      <c r="C18" s="18" t="str">
        <f>Combustion!F7&amp;"/Yr"</f>
        <v xml:space="preserve"> /Yr</v>
      </c>
    </row>
    <row r="19" spans="1:7" x14ac:dyDescent="0.2">
      <c r="A19" s="14" t="s">
        <v>86</v>
      </c>
      <c r="B19" s="56"/>
      <c r="C19" s="18" t="s">
        <v>85</v>
      </c>
    </row>
    <row r="20" spans="1:7" x14ac:dyDescent="0.2">
      <c r="A20" s="14" t="s">
        <v>37</v>
      </c>
      <c r="B20" s="56"/>
      <c r="C20" s="18" t="s">
        <v>38</v>
      </c>
    </row>
    <row r="21" spans="1:7" x14ac:dyDescent="0.2">
      <c r="B21" s="16" t="s">
        <v>41</v>
      </c>
    </row>
    <row r="23" spans="1:7" x14ac:dyDescent="0.2">
      <c r="B23" s="68" t="s">
        <v>105</v>
      </c>
    </row>
    <row r="24" spans="1:7" x14ac:dyDescent="0.2">
      <c r="B24" s="16" t="s">
        <v>107</v>
      </c>
      <c r="C24" s="59"/>
      <c r="D24" s="26" t="s">
        <v>87</v>
      </c>
      <c r="E24" s="66">
        <f>C24/1000</f>
        <v>0</v>
      </c>
      <c r="F24" s="26" t="s">
        <v>88</v>
      </c>
      <c r="G24" s="55" t="s">
        <v>89</v>
      </c>
    </row>
    <row r="25" spans="1:7" x14ac:dyDescent="0.2">
      <c r="B25" s="16" t="s">
        <v>106</v>
      </c>
      <c r="C25" s="59"/>
      <c r="D25" s="26" t="s">
        <v>87</v>
      </c>
      <c r="E25" s="66">
        <f>C25*0.14</f>
        <v>0</v>
      </c>
      <c r="F25" s="26" t="s">
        <v>81</v>
      </c>
      <c r="G25" s="55" t="s">
        <v>94</v>
      </c>
    </row>
  </sheetData>
  <sheetProtection password="C20E" sheet="1" objects="1" scenarios="1"/>
  <mergeCells count="1">
    <mergeCell ref="B2:F2"/>
  </mergeCells>
  <phoneticPr fontId="5" type="noConversion"/>
  <pageMargins left="0.75" right="0.75" top="1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zoomScale="115" workbookViewId="0">
      <selection sqref="A1:I1"/>
    </sheetView>
  </sheetViews>
  <sheetFormatPr defaultRowHeight="12.75" x14ac:dyDescent="0.2"/>
  <cols>
    <col min="1" max="2" width="10.85546875" customWidth="1"/>
    <col min="3" max="3" width="9.42578125" customWidth="1"/>
    <col min="4" max="4" width="11.5703125" customWidth="1"/>
    <col min="6" max="6" width="0" hidden="1" customWidth="1"/>
    <col min="7" max="7" width="9.7109375" customWidth="1"/>
    <col min="10" max="11" width="8.7109375" customWidth="1"/>
  </cols>
  <sheetData>
    <row r="1" spans="1:11" x14ac:dyDescent="0.2">
      <c r="A1" s="159" t="s">
        <v>2</v>
      </c>
      <c r="B1" s="160"/>
      <c r="C1" s="160"/>
      <c r="D1" s="160"/>
      <c r="E1" s="160"/>
      <c r="F1" s="160"/>
      <c r="G1" s="160"/>
      <c r="H1" s="160"/>
      <c r="I1" s="160"/>
    </row>
    <row r="2" spans="1:11" x14ac:dyDescent="0.2">
      <c r="A2" s="7"/>
      <c r="B2" s="8"/>
      <c r="C2" s="8"/>
      <c r="D2" s="8"/>
      <c r="E2" s="8"/>
      <c r="F2" s="8"/>
      <c r="G2" s="8"/>
      <c r="H2" s="8"/>
      <c r="I2" s="8"/>
    </row>
    <row r="3" spans="1:11" s="29" customFormat="1" x14ac:dyDescent="0.2">
      <c r="A3" s="169" t="s">
        <v>44</v>
      </c>
      <c r="B3" s="170"/>
      <c r="C3" s="157"/>
      <c r="D3" s="171" t="str">
        <f>Combustion!G7</f>
        <v xml:space="preserve"> </v>
      </c>
      <c r="E3" s="172"/>
      <c r="F3" s="172"/>
      <c r="G3" s="172"/>
      <c r="H3" s="172"/>
      <c r="I3" s="172"/>
      <c r="J3" s="172"/>
      <c r="K3" s="173"/>
    </row>
    <row r="4" spans="1:11" s="29" customFormat="1" x14ac:dyDescent="0.2">
      <c r="A4" s="169" t="s">
        <v>45</v>
      </c>
      <c r="B4" s="170"/>
      <c r="C4" s="163"/>
      <c r="D4" s="171" t="e">
        <f>Combustion!A9</f>
        <v>#N/A</v>
      </c>
      <c r="E4" s="172"/>
      <c r="F4" s="172"/>
      <c r="G4" s="172"/>
      <c r="H4" s="172"/>
      <c r="I4" s="172"/>
      <c r="J4" s="172"/>
      <c r="K4" s="173"/>
    </row>
    <row r="5" spans="1:11" s="29" customFormat="1" x14ac:dyDescent="0.2">
      <c r="A5" s="169" t="s">
        <v>46</v>
      </c>
      <c r="B5" s="170"/>
      <c r="C5" s="174"/>
      <c r="D5" s="171" t="e">
        <f>Combustion!A10</f>
        <v>#N/A</v>
      </c>
      <c r="E5" s="172"/>
      <c r="F5" s="172"/>
      <c r="G5" s="172"/>
      <c r="H5" s="172"/>
      <c r="I5" s="172"/>
      <c r="J5" s="172"/>
      <c r="K5" s="173"/>
    </row>
    <row r="6" spans="1:11" x14ac:dyDescent="0.2">
      <c r="A6" s="161" t="s">
        <v>3</v>
      </c>
      <c r="B6" s="162"/>
      <c r="C6" s="163"/>
      <c r="D6" s="164">
        <f>IF('Permit Limits'!B17&gt;0,'Permit Limits'!B17,Combustion!C7)</f>
        <v>0</v>
      </c>
      <c r="E6" s="165"/>
      <c r="F6" s="57"/>
      <c r="G6" s="166" t="str">
        <f>Combustion!F7</f>
        <v xml:space="preserve"> </v>
      </c>
      <c r="H6" s="167"/>
      <c r="I6" s="168"/>
      <c r="J6" s="161" t="s">
        <v>4</v>
      </c>
      <c r="K6" s="163"/>
    </row>
    <row r="7" spans="1:11" x14ac:dyDescent="0.2">
      <c r="A7" s="12"/>
      <c r="B7" s="12"/>
      <c r="C7" s="12"/>
      <c r="D7" s="13"/>
      <c r="E7" s="11"/>
      <c r="F7" s="11"/>
      <c r="G7" s="9"/>
      <c r="H7" s="9"/>
      <c r="I7" s="9"/>
      <c r="J7" s="10"/>
      <c r="K7" s="10"/>
    </row>
    <row r="8" spans="1:11" x14ac:dyDescent="0.2">
      <c r="A8" s="155" t="s">
        <v>5</v>
      </c>
      <c r="B8" s="156"/>
      <c r="C8" s="156"/>
      <c r="D8" s="156"/>
      <c r="E8" s="156"/>
      <c r="F8" s="156"/>
      <c r="G8" s="156"/>
      <c r="H8" s="156"/>
      <c r="I8" s="156"/>
      <c r="J8" s="156"/>
      <c r="K8" s="157"/>
    </row>
    <row r="9" spans="1:11" x14ac:dyDescent="0.2">
      <c r="A9" s="1">
        <v>14</v>
      </c>
      <c r="B9" s="1">
        <v>15</v>
      </c>
      <c r="C9" s="1">
        <v>16</v>
      </c>
      <c r="D9" s="1">
        <v>17</v>
      </c>
      <c r="E9" s="1">
        <v>18</v>
      </c>
      <c r="F9" s="1"/>
      <c r="G9" s="1">
        <v>19</v>
      </c>
      <c r="H9" s="1">
        <v>20</v>
      </c>
      <c r="I9" s="1">
        <v>21</v>
      </c>
      <c r="J9" s="1">
        <v>22</v>
      </c>
      <c r="K9" s="1">
        <v>23</v>
      </c>
    </row>
    <row r="10" spans="1:11" ht="67.5" x14ac:dyDescent="0.2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/>
      <c r="G10" s="4" t="s">
        <v>11</v>
      </c>
      <c r="H10" s="4" t="s">
        <v>12</v>
      </c>
      <c r="I10" s="4" t="s">
        <v>13</v>
      </c>
      <c r="J10" s="4" t="s">
        <v>14</v>
      </c>
      <c r="K10" s="4" t="s">
        <v>15</v>
      </c>
    </row>
    <row r="11" spans="1:11" x14ac:dyDescent="0.2">
      <c r="A11" s="5" t="s">
        <v>16</v>
      </c>
      <c r="B11" s="30" t="str">
        <f>IF(Combustion!I7&gt;0,Combustion!I7," ")</f>
        <v xml:space="preserve"> </v>
      </c>
      <c r="C11" s="31" t="str">
        <f>IF(Combustion!I7=" "," ","lb/"&amp;Combustion!F7)</f>
        <v xml:space="preserve"> </v>
      </c>
      <c r="D11" s="72" t="str">
        <f>IF(Combustion!I7&gt;0,Combustion!K7," ")</f>
        <v xml:space="preserve"> </v>
      </c>
      <c r="E11" s="32"/>
      <c r="F11" s="32"/>
      <c r="G11" s="34" t="str">
        <f>IF(Combustion!I7=" "," ",$D$6*B11)</f>
        <v xml:space="preserve"> </v>
      </c>
      <c r="H11" s="32"/>
      <c r="I11" s="32"/>
      <c r="J11" s="36" t="str">
        <f>IF('Permit Limits'!B6&gt;0,'Permit Limits'!B6,IF('Permit Limits'!B7&gt;0,'Permit Limits'!B7," "))</f>
        <v xml:space="preserve"> </v>
      </c>
      <c r="K11" s="51" t="str">
        <f>IF(Combustion!I8=" "," ",IF('Permit Limits'!C6&gt;0,'Permit Limits'!C6,IF('Permit Limits'!C7&gt;0,'Permit Limits'!C7,IF('Permit Limits'!B18&gt;0,'Permit Limits'!B18*B11/2000,IF('Permit Limits'!B20&gt;0,'Permit Limits'!B20*D6*'INV-3'!B11/2000,IF('Permit Limits'!B6&gt;0,'Permit Limits'!B6*8760/2000,IF('Permit Limits'!B7&gt;0,'Permit Limits'!B7*8760/2000,'INV-3'!G11*8760/2000)))))))</f>
        <v xml:space="preserve"> </v>
      </c>
    </row>
    <row r="12" spans="1:11" x14ac:dyDescent="0.2">
      <c r="A12" s="5" t="s">
        <v>17</v>
      </c>
      <c r="B12" s="30" t="str">
        <f>IF(Combustion!I8&gt;0,Combustion!I8," ")</f>
        <v xml:space="preserve"> </v>
      </c>
      <c r="C12" s="31" t="str">
        <f>IF(Combustion!I8=" "," ","lb/"&amp;Combustion!F7)</f>
        <v xml:space="preserve"> </v>
      </c>
      <c r="D12" s="72" t="str">
        <f>IF(Combustion!I8&gt;0,Combustion!K8," ")</f>
        <v xml:space="preserve"> </v>
      </c>
      <c r="E12" s="32"/>
      <c r="F12" s="32"/>
      <c r="G12" s="34" t="str">
        <f>IF(Combustion!I8=" "," ",$D$6*B12)</f>
        <v xml:space="preserve"> </v>
      </c>
      <c r="H12" s="32"/>
      <c r="I12" s="32"/>
      <c r="J12" s="36" t="str">
        <f>IF('Permit Limits'!B7&gt;0,'Permit Limits'!B7,IF('Permit Limits'!B6&gt;0,'Permit Limits'!B6," "))</f>
        <v xml:space="preserve"> </v>
      </c>
      <c r="K12" s="51" t="str">
        <f>IF(Combustion!I8=" "," ",IF('Permit Limits'!C7&gt;0,'Permit Limits'!C7,IF('Permit Limits'!C6&gt;0,'Permit Limits'!C6,IF('Permit Limits'!B18&gt;0,'Permit Limits'!B18*B12/2000,IF('Permit Limits'!B20&gt;0,'Permit Limits'!B20*D6*'INV-3'!B12/2000,IF('Permit Limits'!B7&gt;0,'Permit Limits'!B7*8760/2000,IF('Permit Limits'!B6&gt;0,'Permit Limits'!B6*8760/2000,'INV-3'!G12*8760/2000)))))))</f>
        <v xml:space="preserve"> </v>
      </c>
    </row>
    <row r="13" spans="1:11" x14ac:dyDescent="0.2">
      <c r="A13" s="5" t="s">
        <v>18</v>
      </c>
      <c r="B13" s="30" t="str">
        <f>IF(Combustion!I9&gt;0,Combustion!I9," ")</f>
        <v xml:space="preserve"> </v>
      </c>
      <c r="C13" s="31" t="str">
        <f>IF(Combustion!I9=" "," ","lb/"&amp;Combustion!F7)</f>
        <v xml:space="preserve"> </v>
      </c>
      <c r="D13" s="72" t="str">
        <f>IF(Combustion!I9&gt;0,Combustion!K9," ")</f>
        <v xml:space="preserve"> </v>
      </c>
      <c r="E13" s="30" t="str">
        <f>IF('Permit Limits'!B19&gt;0,'Permit Limits'!B19,IF(Combustion!E8&gt;0,Combustion!E8," "))</f>
        <v xml:space="preserve"> </v>
      </c>
      <c r="F13" s="30" t="str">
        <f>IF('Permit Limits'!B19&gt;0,'Permit Limits'!B19*B13,IF(Combustion!E8&gt;0,Combustion!E8*B13,B13))</f>
        <v xml:space="preserve"> </v>
      </c>
      <c r="G13" s="34" t="str">
        <f>IF(Combustion!I9=" "," ",IF(Combustion!E8&gt;0,$D$6*E13*B13,D6*B13))</f>
        <v xml:space="preserve"> </v>
      </c>
      <c r="H13" s="32"/>
      <c r="I13" s="47"/>
      <c r="J13" s="32" t="str">
        <f>IF('Permit Limits'!B8&gt;0,'Permit Limits'!B8," ")</f>
        <v xml:space="preserve"> </v>
      </c>
      <c r="K13" s="34" t="str">
        <f>IF(Combustion!I9=" "," ",IF('Permit Limits'!C8&gt;0,'Permit Limits'!C8,IF('Permit Limits'!B8&gt;0,'Permit Limits'!B8*8760/2000,IF('Permit Limits'!B18&gt;0,'Permit Limits'!B18*F13/2000,IF('Permit Limits'!B20&gt;0,'Permit Limits'!B20*D6*F13/2000,'INV-3'!G13*8760/2000)))))</f>
        <v xml:space="preserve"> </v>
      </c>
    </row>
    <row r="14" spans="1:11" x14ac:dyDescent="0.2">
      <c r="A14" s="5" t="s">
        <v>19</v>
      </c>
      <c r="B14" s="30" t="str">
        <f>IF(Combustion!I10&gt;0,Combustion!I10," ")</f>
        <v xml:space="preserve"> </v>
      </c>
      <c r="C14" s="31" t="str">
        <f>IF(Combustion!I10=" "," ","lb/"&amp;Combustion!F7)</f>
        <v xml:space="preserve"> </v>
      </c>
      <c r="D14" s="72" t="str">
        <f>IF(Combustion!I10&gt;0,Combustion!K10," ")</f>
        <v xml:space="preserve"> </v>
      </c>
      <c r="E14" s="2"/>
      <c r="F14" s="2"/>
      <c r="G14" s="34" t="str">
        <f>IF(Combustion!I10= " "," ",$D$6*B14)</f>
        <v xml:space="preserve"> </v>
      </c>
      <c r="H14" s="32"/>
      <c r="I14" s="2"/>
      <c r="J14" s="32" t="str">
        <f>IF('Permit Limits'!B9&gt;0,'Permit Limits'!B9," ")</f>
        <v xml:space="preserve"> </v>
      </c>
      <c r="K14" s="34" t="str">
        <f>IF(Combustion!I10=" "," ",IF('Permit Limits'!C9&gt;0,'Permit Limits'!C9,IF('Permit Limits'!B9&gt;0,'Permit Limits'!B9*8760/2000,IF('Permit Limits'!B18&gt;0,'Permit Limits'!B18*B14/2000,IF('Permit Limits'!B20&gt;0,'Permit Limits'!B20*D6*'INV-3'!B14/2000,'INV-3'!G14*8760/2000)))))</f>
        <v xml:space="preserve"> </v>
      </c>
    </row>
    <row r="15" spans="1:11" x14ac:dyDescent="0.2">
      <c r="A15" s="5" t="s">
        <v>20</v>
      </c>
      <c r="B15" s="30" t="str">
        <f>IF(Combustion!I11&gt;0,Combustion!I11," ")</f>
        <v xml:space="preserve"> </v>
      </c>
      <c r="C15" s="31" t="str">
        <f>IF(Combustion!I11=" "," ","lb/"&amp;Combustion!F7)</f>
        <v xml:space="preserve"> </v>
      </c>
      <c r="D15" s="72" t="str">
        <f>IF(Combustion!I11&gt;0,Combustion!K11," ")</f>
        <v xml:space="preserve"> </v>
      </c>
      <c r="E15" s="2"/>
      <c r="F15" s="2"/>
      <c r="G15" s="34" t="str">
        <f>IF(Combustion!I11=" "," ",$D$6*B15)</f>
        <v xml:space="preserve"> </v>
      </c>
      <c r="H15" s="32"/>
      <c r="I15" s="2"/>
      <c r="J15" s="32" t="str">
        <f>IF('Permit Limits'!B10&gt;0,'Permit Limits'!B10," ")</f>
        <v xml:space="preserve"> </v>
      </c>
      <c r="K15" s="34" t="str">
        <f>IF(Combustion!I11=" "," ",IF('Permit Limits'!C10&gt;0,'Permit Limits'!C10,IF('Permit Limits'!B10&gt;0,'Permit Limits'!B10*8760/2000,IF('Permit Limits'!B18&gt;0,'Permit Limits'!B18*B15/2000,IF('Permit Limits'!B20&gt;0,'Permit Limits'!B20*D6*'INV-3'!B15/2000,'INV-3'!G15*8760/2000)))))</f>
        <v xml:space="preserve"> </v>
      </c>
    </row>
    <row r="16" spans="1:11" x14ac:dyDescent="0.2">
      <c r="A16" s="5" t="s">
        <v>21</v>
      </c>
      <c r="B16" s="30" t="str">
        <f>IF(Combustion!I12&gt;0,Combustion!I12," ")</f>
        <v xml:space="preserve"> </v>
      </c>
      <c r="C16" s="31" t="str">
        <f>IF(Combustion!I12=" "," ","lb/"&amp;Combustion!F7)</f>
        <v xml:space="preserve"> </v>
      </c>
      <c r="D16" s="72" t="str">
        <f>IF(Combustion!I12&gt;0,Combustion!K12," ")</f>
        <v xml:space="preserve"> </v>
      </c>
      <c r="E16" s="2"/>
      <c r="F16" s="2"/>
      <c r="G16" s="34" t="str">
        <f>IF(Combustion!I12=" "," ",$D$6*B16)</f>
        <v xml:space="preserve"> </v>
      </c>
      <c r="H16" s="32"/>
      <c r="I16" s="2"/>
      <c r="J16" s="32" t="str">
        <f>IF('Permit Limits'!B11&gt;0,'Permit Limits'!B11," ")</f>
        <v xml:space="preserve"> </v>
      </c>
      <c r="K16" s="34" t="str">
        <f>IF(Combustion!I12=" "," ",IF('Permit Limits'!C11&gt;0,'Permit Limits'!C11,IF('Permit Limits'!B11&gt;0,'Permit Limits'!B11*8760/2000,IF('Permit Limits'!B18&gt;0,'Permit Limits'!B18*B16/2000,IF('Permit Limits'!B20&gt;0,'Permit Limits'!B20*D6*'INV-3'!B16/2000,'INV-3'!G16*8760/2000)))))</f>
        <v xml:space="preserve"> </v>
      </c>
    </row>
    <row r="17" spans="1:11" x14ac:dyDescent="0.2">
      <c r="A17" s="5" t="s">
        <v>22</v>
      </c>
      <c r="B17" s="30"/>
      <c r="C17" s="31"/>
      <c r="E17" s="2"/>
      <c r="F17" s="2"/>
      <c r="G17" s="30"/>
      <c r="H17" s="32"/>
      <c r="I17" s="2"/>
      <c r="J17" s="32"/>
      <c r="K17" s="34"/>
    </row>
    <row r="18" spans="1:11" x14ac:dyDescent="0.2">
      <c r="A18" s="5" t="s">
        <v>23</v>
      </c>
      <c r="B18" s="30" t="str">
        <f>IF(Combustion!I13&gt;0,Combustion!I13," ")</f>
        <v xml:space="preserve"> </v>
      </c>
      <c r="C18" s="31" t="str">
        <f>IF(Combustion!I13=" "," ","lb/"&amp;Combustion!F7)</f>
        <v xml:space="preserve"> </v>
      </c>
      <c r="D18" s="44" t="str">
        <f>IF(Combustion!I13&gt;0,Combustion!K13," ")</f>
        <v xml:space="preserve"> </v>
      </c>
      <c r="E18" s="2"/>
      <c r="F18" s="2"/>
      <c r="G18" s="34" t="str">
        <f>IF(Combustion!I13=" "," ",$D$6*B18)</f>
        <v xml:space="preserve"> </v>
      </c>
      <c r="H18" s="32"/>
      <c r="I18" s="2"/>
      <c r="J18" s="32" t="str">
        <f>IF(Combustion!I13=" "," ",IF('Permit Limits'!B13&gt;0,'Permit Limits'!B13," "))</f>
        <v xml:space="preserve"> </v>
      </c>
      <c r="K18" s="34" t="str">
        <f>IF(Combustion!I13=" "," ",IF('Permit Limits'!C13&gt;0,'Permit Limits'!C13,IF('Permit Limits'!B13&gt;0,'Permit Limits'!B13*8760/2000,IF('Permit Limits'!B18&gt;0,'Permit Limits'!B18*'INV-3'!B18/2000,IF('Permit Limits'!B20&gt;0,'Permit Limits'!B20*D6*'INV-3'!B18/2000,'INV-3'!G18*8760/2000)))))</f>
        <v xml:space="preserve"> </v>
      </c>
    </row>
    <row r="19" spans="1:11" x14ac:dyDescent="0.2">
      <c r="A19" s="155" t="s">
        <v>24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8"/>
    </row>
    <row r="20" spans="1:11" ht="14.25" customHeight="1" x14ac:dyDescent="0.2">
      <c r="A20" s="52" t="str">
        <f>IF(Combustion!I14=" "," ",Combustion!H14)</f>
        <v xml:space="preserve"> </v>
      </c>
      <c r="B20" s="46" t="str">
        <f>IF(Combustion!I14&gt;0,Combustion!I14," ")</f>
        <v xml:space="preserve"> </v>
      </c>
      <c r="C20" s="54" t="str">
        <f>IF(Combustion!I14=" "," ","lb/"&amp;Combustion!F7)</f>
        <v xml:space="preserve"> </v>
      </c>
      <c r="D20" s="45" t="str">
        <f>IF(Combustion!I14&gt;0,Combustion!K14," ")</f>
        <v xml:space="preserve"> </v>
      </c>
      <c r="E20" s="50"/>
      <c r="F20" s="50"/>
      <c r="G20" s="34" t="str">
        <f>IF(Combustion!I14=" "," ",$D$6*B20)</f>
        <v xml:space="preserve"> </v>
      </c>
      <c r="H20" s="30"/>
      <c r="I20" s="50"/>
      <c r="J20" s="30" t="str">
        <f>IF(Combustion!I14=" "," ",IF('Permit Limits'!B13&gt;0,'Permit Limits'!B13," "))</f>
        <v xml:space="preserve"> </v>
      </c>
      <c r="K20" s="51" t="str">
        <f>IF(Combustion!I14=" "," ",IF('Permit Limits'!C13&gt;0,'Permit Limits'!C13,IF('Permit Limits'!B13&gt;0,'Permit Limits'!B13*8760/2000,IF('Permit Limits'!B18&gt;0,'Permit Limits'!B18*'INV-3'!B20/2000,IF('Permit Limits'!B20&gt;0,'Permit Limits'!B20*D6*'INV-3'!B20/2000,'INV-3'!G20*8760/2000)))))</f>
        <v xml:space="preserve"> </v>
      </c>
    </row>
    <row r="21" spans="1:11" ht="12.75" customHeight="1" x14ac:dyDescent="0.2">
      <c r="A21" s="69" t="str">
        <f>IF(Combustion!I15=" "," ",Combustion!H15)</f>
        <v xml:space="preserve"> </v>
      </c>
      <c r="B21" s="46" t="str">
        <f>IF(Combustion!I15&gt;0,Combustion!I15," ")</f>
        <v xml:space="preserve"> </v>
      </c>
      <c r="C21" s="54" t="str">
        <f>IF(Combustion!I15=" "," ","lb/"&amp;Combustion!F7)</f>
        <v xml:space="preserve"> </v>
      </c>
      <c r="D21" s="45" t="str">
        <f>IF(Combustion!I15&gt;0,Combustion!K15," ")</f>
        <v xml:space="preserve"> </v>
      </c>
      <c r="E21" s="50"/>
      <c r="F21" s="50"/>
      <c r="G21" s="34" t="str">
        <f>IF(Combustion!I15=" "," ",$D$6*B21)</f>
        <v xml:space="preserve"> </v>
      </c>
      <c r="H21" s="30"/>
      <c r="I21" s="50"/>
      <c r="J21" s="30" t="str">
        <f>IF(Combustion!I15=" "," ",IF('Permit Limits'!B13&gt;0,'Permit Limits'!B13," "))</f>
        <v xml:space="preserve"> </v>
      </c>
      <c r="K21" s="51" t="str">
        <f>IF(Combustion!I15=" "," ",IF('Permit Limits'!C13&gt;0,'Permit Limits'!C13,IF('Permit Limits'!B13&gt;0,'Permit Limits'!B13*8760/2000,IF('Permit Limits'!B18&gt;0,'Permit Limits'!B18*'INV-3'!B21/2000,IF('Permit Limits'!B20&gt;0,'Permit Limits'!B20*D6*'INV-3'!B21/2000,'INV-3'!G21*8760/2000)))))</f>
        <v xml:space="preserve"> </v>
      </c>
    </row>
    <row r="22" spans="1:11" x14ac:dyDescent="0.2">
      <c r="A22" s="6"/>
      <c r="B22" s="46"/>
      <c r="C22" s="54"/>
      <c r="D22" s="45"/>
      <c r="E22" s="50"/>
      <c r="F22" s="50"/>
      <c r="G22" s="30"/>
      <c r="H22" s="30"/>
      <c r="I22" s="50"/>
      <c r="J22" s="30"/>
      <c r="K22" s="51"/>
    </row>
    <row r="23" spans="1:11" ht="14.25" customHeight="1" x14ac:dyDescent="0.2">
      <c r="A23" s="6"/>
      <c r="B23" s="46"/>
      <c r="C23" s="54"/>
      <c r="D23" s="45"/>
      <c r="E23" s="50"/>
      <c r="F23" s="50"/>
      <c r="G23" s="30"/>
      <c r="H23" s="30"/>
      <c r="I23" s="50"/>
      <c r="J23" s="30"/>
      <c r="K23" s="51"/>
    </row>
    <row r="24" spans="1:11" x14ac:dyDescent="0.2">
      <c r="A24" s="3"/>
      <c r="B24" s="46"/>
      <c r="C24" s="54"/>
      <c r="D24" s="45"/>
      <c r="E24" s="50"/>
      <c r="F24" s="50"/>
      <c r="G24" s="30"/>
      <c r="H24" s="30"/>
      <c r="I24" s="50"/>
      <c r="J24" s="30"/>
      <c r="K24" s="34"/>
    </row>
    <row r="25" spans="1:11" x14ac:dyDescent="0.2">
      <c r="A25" s="3"/>
      <c r="B25" s="46"/>
      <c r="C25" s="54"/>
      <c r="D25" s="45"/>
      <c r="E25" s="50"/>
      <c r="F25" s="50"/>
      <c r="G25" s="30"/>
      <c r="H25" s="30"/>
      <c r="I25" s="50"/>
      <c r="J25" s="30"/>
      <c r="K25" s="34"/>
    </row>
  </sheetData>
  <sheetProtection password="C20E" sheet="1" objects="1" scenarios="1"/>
  <mergeCells count="13">
    <mergeCell ref="A8:K8"/>
    <mergeCell ref="A19:K19"/>
    <mergeCell ref="A1:I1"/>
    <mergeCell ref="A6:C6"/>
    <mergeCell ref="D6:E6"/>
    <mergeCell ref="G6:I6"/>
    <mergeCell ref="A3:C3"/>
    <mergeCell ref="D3:K3"/>
    <mergeCell ref="A4:C4"/>
    <mergeCell ref="D4:K4"/>
    <mergeCell ref="A5:C5"/>
    <mergeCell ref="D5:K5"/>
    <mergeCell ref="J6:K6"/>
  </mergeCells>
  <phoneticPr fontId="5" type="noConversion"/>
  <pageMargins left="0.5" right="0.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zoomScale="115" workbookViewId="0">
      <selection activeCell="F16" sqref="F16"/>
    </sheetView>
  </sheetViews>
  <sheetFormatPr defaultRowHeight="12.75" x14ac:dyDescent="0.2"/>
  <cols>
    <col min="1" max="1" width="34.42578125" customWidth="1"/>
    <col min="2" max="2" width="26.140625" customWidth="1"/>
    <col min="3" max="3" width="11.42578125" customWidth="1"/>
    <col min="4" max="4" width="23.28515625" customWidth="1"/>
    <col min="5" max="5" width="11.42578125" customWidth="1"/>
    <col min="6" max="6" width="11.5703125" customWidth="1"/>
    <col min="7" max="7" width="12.85546875" style="33" customWidth="1"/>
    <col min="8" max="9" width="9.140625" style="33"/>
  </cols>
  <sheetData>
    <row r="1" spans="1:9" ht="15.75" x14ac:dyDescent="0.25">
      <c r="A1" s="88" t="s">
        <v>119</v>
      </c>
      <c r="B1" s="74"/>
      <c r="C1" s="74"/>
      <c r="D1" s="74"/>
      <c r="E1" s="74"/>
      <c r="F1" s="74"/>
    </row>
    <row r="2" spans="1:9" x14ac:dyDescent="0.2">
      <c r="A2" s="89" t="s">
        <v>120</v>
      </c>
      <c r="B2" s="85"/>
      <c r="C2" s="85"/>
      <c r="D2" s="85"/>
      <c r="E2" s="110"/>
      <c r="F2" s="110"/>
      <c r="G2" s="110"/>
    </row>
    <row r="3" spans="1:9" x14ac:dyDescent="0.2">
      <c r="A3" s="78"/>
      <c r="B3" s="79"/>
      <c r="C3" s="79"/>
      <c r="D3" s="79"/>
      <c r="E3" s="37"/>
      <c r="F3" s="37"/>
    </row>
    <row r="4" spans="1:9" ht="15" x14ac:dyDescent="0.25">
      <c r="A4" s="86" t="s">
        <v>121</v>
      </c>
      <c r="B4" s="91"/>
      <c r="C4" s="79"/>
      <c r="D4" s="79"/>
      <c r="E4" s="79"/>
      <c r="F4" s="79"/>
    </row>
    <row r="5" spans="1:9" ht="15" x14ac:dyDescent="0.25">
      <c r="A5" s="98" t="s">
        <v>122</v>
      </c>
      <c r="B5" s="101" t="str">
        <f>IF(Combustion!C4="",(""),Combustion!C4)</f>
        <v/>
      </c>
      <c r="C5" s="33"/>
      <c r="D5" s="90"/>
      <c r="E5" s="37"/>
      <c r="F5" s="37"/>
    </row>
    <row r="6" spans="1:9" ht="15" x14ac:dyDescent="0.25">
      <c r="A6" s="99" t="s">
        <v>123</v>
      </c>
      <c r="B6" s="101" t="str">
        <f>Combustion!G7</f>
        <v xml:space="preserve"> </v>
      </c>
      <c r="C6" s="93"/>
      <c r="D6" s="94"/>
      <c r="E6" s="92"/>
      <c r="F6" s="92"/>
      <c r="G6" s="93"/>
    </row>
    <row r="7" spans="1:9" ht="15" x14ac:dyDescent="0.25">
      <c r="A7" s="99" t="s">
        <v>124</v>
      </c>
      <c r="B7" s="101" t="e">
        <f>Combustion!A9</f>
        <v>#N/A</v>
      </c>
      <c r="C7" s="92"/>
      <c r="D7" s="93"/>
      <c r="E7" s="95"/>
      <c r="F7" s="95"/>
      <c r="G7" s="95"/>
    </row>
    <row r="8" spans="1:9" ht="15" x14ac:dyDescent="0.25">
      <c r="A8" s="99" t="s">
        <v>125</v>
      </c>
      <c r="B8" s="102">
        <f>Combustion!E7</f>
        <v>0</v>
      </c>
      <c r="C8" s="96"/>
      <c r="D8" s="33"/>
      <c r="E8" s="33"/>
      <c r="F8" s="33"/>
    </row>
    <row r="9" spans="1:9" ht="15" x14ac:dyDescent="0.25">
      <c r="A9" s="100" t="s">
        <v>126</v>
      </c>
      <c r="B9" s="101" t="str">
        <f>Combustion!F7</f>
        <v xml:space="preserve"> </v>
      </c>
      <c r="C9" s="94"/>
      <c r="D9" s="33"/>
      <c r="E9" s="96"/>
      <c r="F9" s="95"/>
      <c r="G9" s="94"/>
    </row>
    <row r="10" spans="1:9" ht="15" x14ac:dyDescent="0.25">
      <c r="A10" s="99" t="s">
        <v>127</v>
      </c>
      <c r="B10" s="103" t="e">
        <f>Combustion!A10</f>
        <v>#N/A</v>
      </c>
      <c r="C10" s="33"/>
      <c r="D10" s="97"/>
      <c r="E10" s="97"/>
      <c r="F10" s="97"/>
      <c r="G10" s="97"/>
    </row>
    <row r="11" spans="1:9" ht="15" x14ac:dyDescent="0.25">
      <c r="A11" s="87"/>
      <c r="B11" s="104"/>
      <c r="C11" s="33"/>
      <c r="D11" s="97"/>
      <c r="E11" s="97"/>
      <c r="F11" s="97"/>
      <c r="G11" s="97"/>
    </row>
    <row r="12" spans="1:9" s="16" customFormat="1" ht="15" x14ac:dyDescent="0.25">
      <c r="A12" s="86" t="s">
        <v>128</v>
      </c>
      <c r="B12" s="105"/>
      <c r="C12" s="105"/>
      <c r="D12" s="105"/>
      <c r="E12" s="105"/>
      <c r="G12" s="111"/>
      <c r="H12" s="111"/>
      <c r="I12" s="111"/>
    </row>
    <row r="13" spans="1:9" s="16" customFormat="1" ht="45" customHeight="1" x14ac:dyDescent="0.25">
      <c r="A13" s="106" t="s">
        <v>129</v>
      </c>
      <c r="B13" s="106" t="s">
        <v>117</v>
      </c>
      <c r="C13" s="106" t="s">
        <v>130</v>
      </c>
      <c r="D13" s="106" t="s">
        <v>8</v>
      </c>
      <c r="E13" s="108" t="s">
        <v>10</v>
      </c>
      <c r="F13" s="106" t="s">
        <v>131</v>
      </c>
      <c r="G13" s="111"/>
      <c r="H13" s="111"/>
      <c r="I13" s="111"/>
    </row>
    <row r="14" spans="1:9" x14ac:dyDescent="0.2">
      <c r="A14" s="107" t="s">
        <v>132</v>
      </c>
      <c r="B14" s="109" t="str">
        <f>IF(Combustion!I7&gt;0,Combustion!L7," ")</f>
        <v xml:space="preserve"> </v>
      </c>
      <c r="C14" s="75" t="str">
        <f>IF(Combustion!I7&gt;0,Combustion!I7," ")</f>
        <v xml:space="preserve"> </v>
      </c>
      <c r="D14" s="75" t="str">
        <f>IF(Combustion!I7=" "," ",Combustion!J7)</f>
        <v xml:space="preserve"> </v>
      </c>
      <c r="E14" s="49"/>
      <c r="F14" s="76" t="str">
        <f>IF(Combustion!I7=" "," ",$B$8*C14/2000)</f>
        <v xml:space="preserve"> </v>
      </c>
    </row>
    <row r="15" spans="1:9" x14ac:dyDescent="0.2">
      <c r="A15" s="107" t="s">
        <v>133</v>
      </c>
      <c r="B15" s="109" t="str">
        <f>IF(Combustion!I8&gt;0,Combustion!L8," ")</f>
        <v xml:space="preserve"> </v>
      </c>
      <c r="C15" s="75" t="str">
        <f>IF(Combustion!I8&gt;0,Combustion!I8," ")</f>
        <v xml:space="preserve"> </v>
      </c>
      <c r="D15" s="75" t="str">
        <f>IF(Combustion!I8=" "," ",Combustion!J8)</f>
        <v xml:space="preserve"> </v>
      </c>
      <c r="E15" s="49"/>
      <c r="F15" s="76" t="str">
        <f>IF(Combustion!I8=" "," ",$B$8*C15/2000)</f>
        <v xml:space="preserve"> </v>
      </c>
    </row>
    <row r="16" spans="1:9" x14ac:dyDescent="0.2">
      <c r="A16" s="107" t="s">
        <v>137</v>
      </c>
      <c r="B16" s="109" t="str">
        <f>IF(Combustion!I9&gt;0,Combustion!L9," ")</f>
        <v xml:space="preserve"> </v>
      </c>
      <c r="C16" s="75" t="str">
        <f>IF(Combustion!I9&gt;0,Combustion!I9," ")</f>
        <v xml:space="preserve"> </v>
      </c>
      <c r="D16" s="75" t="str">
        <f>IF(Combustion!I9=" "," ",Combustion!J9)</f>
        <v xml:space="preserve"> </v>
      </c>
      <c r="E16" s="48" t="str">
        <f>IF(Combustion!E8&gt;0,Combustion!E8," ")</f>
        <v xml:space="preserve"> </v>
      </c>
      <c r="F16" s="76" t="str">
        <f>IF(Combustion!I9=" "," ",IF(Combustion!E8&gt;0,$B$8*E16*C16/2000,B8*C16/2000))</f>
        <v xml:space="preserve"> </v>
      </c>
    </row>
    <row r="17" spans="1:6" x14ac:dyDescent="0.2">
      <c r="A17" s="107" t="s">
        <v>138</v>
      </c>
      <c r="B17" s="109" t="str">
        <f>IF(Combustion!I10&gt;0,Combustion!L10," ")</f>
        <v xml:space="preserve"> </v>
      </c>
      <c r="C17" s="75" t="str">
        <f>IF(Combustion!I10&gt;0,Combustion!I10," ")</f>
        <v xml:space="preserve"> </v>
      </c>
      <c r="D17" s="75" t="str">
        <f>IF(Combustion!I10=" "," ",Combustion!J10)</f>
        <v xml:space="preserve"> </v>
      </c>
      <c r="E17" s="49"/>
      <c r="F17" s="76" t="str">
        <f>IF(Combustion!I10=" "," ",$B$8*C17/2000)</f>
        <v xml:space="preserve"> </v>
      </c>
    </row>
    <row r="18" spans="1:6" x14ac:dyDescent="0.2">
      <c r="A18" s="107" t="s">
        <v>139</v>
      </c>
      <c r="B18" s="109" t="str">
        <f>IF(Combustion!I11&gt;0,Combustion!L11," ")</f>
        <v xml:space="preserve"> </v>
      </c>
      <c r="C18" s="75" t="str">
        <f>IF(Combustion!I11&gt;0,Combustion!I11," ")</f>
        <v xml:space="preserve"> </v>
      </c>
      <c r="D18" s="75" t="str">
        <f>IF(Combustion!I11=" "," ",Combustion!J11)</f>
        <v xml:space="preserve"> </v>
      </c>
      <c r="E18" s="49"/>
      <c r="F18" s="76" t="str">
        <f>IF(Combustion!I11=" "," ",$B$8*C18/2000)</f>
        <v xml:space="preserve"> </v>
      </c>
    </row>
    <row r="19" spans="1:6" x14ac:dyDescent="0.2">
      <c r="A19" s="107" t="s">
        <v>140</v>
      </c>
      <c r="B19" s="109" t="str">
        <f>IF(Combustion!I12&gt;0,Combustion!L12," ")</f>
        <v xml:space="preserve"> </v>
      </c>
      <c r="C19" s="75" t="str">
        <f>IF(Combustion!I12&gt;0,Combustion!I12," ")</f>
        <v xml:space="preserve"> </v>
      </c>
      <c r="D19" s="75" t="str">
        <f>IF(Combustion!I12=" "," ",Combustion!J12)</f>
        <v xml:space="preserve"> </v>
      </c>
      <c r="E19" s="49"/>
      <c r="F19" s="76" t="str">
        <f>IF(Combustion!I12=" "," ",$B$8*C19/2000)</f>
        <v xml:space="preserve"> </v>
      </c>
    </row>
    <row r="20" spans="1:6" x14ac:dyDescent="0.2">
      <c r="A20" s="107" t="str">
        <f>IF(Combustion!I13=" "," ","NH3 - Ammonia")</f>
        <v xml:space="preserve"> </v>
      </c>
      <c r="B20" s="109" t="str">
        <f>IF(Combustion!I13&gt;0,Combustion!L13," ")</f>
        <v xml:space="preserve"> </v>
      </c>
      <c r="C20" s="75" t="str">
        <f>IF(Combustion!I13&gt;0,Combustion!I13," ")</f>
        <v xml:space="preserve"> </v>
      </c>
      <c r="D20" s="75" t="str">
        <f>IF(Combustion!I13=" "," ",Combustion!J13)</f>
        <v xml:space="preserve"> </v>
      </c>
      <c r="E20" s="49"/>
      <c r="F20" s="76" t="str">
        <f>IF(Combustion!I13=" "," ",$B$8*C20/2000)</f>
        <v xml:space="preserve"> </v>
      </c>
    </row>
    <row r="21" spans="1:6" ht="14.25" customHeight="1" x14ac:dyDescent="0.2">
      <c r="A21" s="107" t="str">
        <f>IF(Combustion!I14=" "," ","110543 - Hexane")</f>
        <v xml:space="preserve"> </v>
      </c>
      <c r="B21" s="109" t="str">
        <f>IF(Combustion!I14&gt;0,Combustion!L14," ")</f>
        <v xml:space="preserve"> </v>
      </c>
      <c r="C21" s="75" t="str">
        <f>IF(Combustion!I14&gt;0,Combustion!I14," ")</f>
        <v xml:space="preserve"> </v>
      </c>
      <c r="D21" s="75" t="str">
        <f>IF(Combustion!I14=" "," ",Combustion!J14)</f>
        <v xml:space="preserve"> </v>
      </c>
      <c r="E21" s="49"/>
      <c r="F21" s="76" t="str">
        <f>IF(Combustion!I14=" "," ",$B$8*C21/2000)</f>
        <v xml:space="preserve"> </v>
      </c>
    </row>
    <row r="22" spans="1:6" ht="15" customHeight="1" x14ac:dyDescent="0.2">
      <c r="A22" s="107" t="str">
        <f>IF(Combustion!I15=" "," ","50000 - Formaldehyde")</f>
        <v xml:space="preserve"> </v>
      </c>
      <c r="B22" s="109" t="str">
        <f>IF(Combustion!I15&gt;0,Combustion!L14," ")</f>
        <v xml:space="preserve"> </v>
      </c>
      <c r="C22" s="75" t="str">
        <f>IF(Combustion!I15&gt;0,Combustion!I15," ")</f>
        <v xml:space="preserve"> </v>
      </c>
      <c r="D22" s="75" t="str">
        <f>IF(Combustion!I15=" "," ",Combustion!J15)</f>
        <v xml:space="preserve"> </v>
      </c>
      <c r="E22" s="49"/>
      <c r="F22" s="76" t="str">
        <f>IF(Combustion!I15=" "," ",$B$8*C22/2000)</f>
        <v xml:space="preserve"> </v>
      </c>
    </row>
  </sheetData>
  <sheetProtection algorithmName="SHA-512" hashValue="AUAYciP5V8/iQvmVwL2QdBWS9NWhh/aoFxIzJXbIgOrIZMlO609i8VggkVoiwFIcGeLxtcr7xzA6FLtTUrxktw==" saltValue="S6yNhDER8SW+edev3otKjQ==" spinCount="100000" sheet="1" objects="1" scenarios="1"/>
  <phoneticPr fontId="5" type="noConversion"/>
  <pageMargins left="0.75" right="0.75" top="1" bottom="1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2"/>
  <sheetViews>
    <sheetView workbookViewId="0">
      <pane xSplit="1" topLeftCell="B1" activePane="topRight" state="frozen"/>
      <selection pane="topRight" activeCell="D2" sqref="D2"/>
    </sheetView>
  </sheetViews>
  <sheetFormatPr defaultRowHeight="12.75" x14ac:dyDescent="0.2"/>
  <cols>
    <col min="1" max="1" width="33.42578125" style="41" bestFit="1" customWidth="1"/>
    <col min="2" max="2" width="28.140625" style="41" customWidth="1"/>
    <col min="3" max="3" width="11.28515625" style="41" bestFit="1" customWidth="1"/>
    <col min="4" max="4" width="20.7109375" style="41" bestFit="1" customWidth="1"/>
    <col min="5" max="5" width="21.42578125" style="41" bestFit="1" customWidth="1"/>
    <col min="6" max="7" width="9.28515625" style="16" customWidth="1"/>
    <col min="8" max="8" width="20.5703125" style="16" bestFit="1" customWidth="1"/>
    <col min="9" max="9" width="9.28515625" style="16" customWidth="1"/>
    <col min="10" max="10" width="16" style="16" bestFit="1" customWidth="1"/>
    <col min="11" max="11" width="20.5703125" style="16" bestFit="1" customWidth="1"/>
    <col min="12" max="12" width="9.28515625" style="16" customWidth="1"/>
    <col min="13" max="13" width="16" style="16" bestFit="1" customWidth="1"/>
    <col min="14" max="14" width="20.5703125" style="16" bestFit="1" customWidth="1"/>
    <col min="15" max="15" width="9.28515625" style="16" customWidth="1"/>
    <col min="16" max="16" width="16" style="16" bestFit="1" customWidth="1"/>
    <col min="17" max="17" width="20.5703125" style="16" bestFit="1" customWidth="1"/>
    <col min="18" max="18" width="9.28515625" style="16" customWidth="1"/>
    <col min="19" max="19" width="16" style="16" bestFit="1" customWidth="1"/>
    <col min="20" max="20" width="20.5703125" style="16" bestFit="1" customWidth="1"/>
    <col min="21" max="21" width="9.28515625" style="16" customWidth="1"/>
    <col min="22" max="22" width="16" style="16" bestFit="1" customWidth="1"/>
    <col min="23" max="23" width="20.5703125" style="16" bestFit="1" customWidth="1"/>
    <col min="24" max="25" width="9.28515625" style="16" customWidth="1"/>
    <col min="26" max="26" width="20.5703125" style="16" bestFit="1" customWidth="1"/>
    <col min="27" max="28" width="9.28515625" style="16" customWidth="1"/>
    <col min="29" max="29" width="20.5703125" style="16" bestFit="1" customWidth="1"/>
    <col min="30" max="30" width="14.28515625" style="16" bestFit="1" customWidth="1"/>
    <col min="31" max="31" width="9" style="16" bestFit="1" customWidth="1"/>
    <col min="32" max="32" width="20.5703125" style="16" bestFit="1" customWidth="1"/>
    <col min="33" max="33" width="9.28515625" style="16" customWidth="1"/>
    <col min="34" max="16384" width="9.140625" style="16"/>
  </cols>
  <sheetData>
    <row r="1" spans="1:33" s="20" customFormat="1" x14ac:dyDescent="0.2">
      <c r="A1" s="60" t="s">
        <v>50</v>
      </c>
      <c r="B1" s="60" t="s">
        <v>51</v>
      </c>
      <c r="C1" s="60" t="s">
        <v>52</v>
      </c>
      <c r="D1" s="60" t="s">
        <v>53</v>
      </c>
      <c r="E1" s="60" t="s">
        <v>79</v>
      </c>
      <c r="F1" s="60" t="s">
        <v>54</v>
      </c>
      <c r="G1" s="60" t="s">
        <v>55</v>
      </c>
      <c r="H1" s="60" t="s">
        <v>114</v>
      </c>
      <c r="I1" s="60" t="s">
        <v>56</v>
      </c>
      <c r="J1" s="60" t="s">
        <v>55</v>
      </c>
      <c r="K1" s="60" t="s">
        <v>114</v>
      </c>
      <c r="L1" s="60" t="s">
        <v>18</v>
      </c>
      <c r="M1" s="60" t="s">
        <v>55</v>
      </c>
      <c r="N1" s="60" t="s">
        <v>114</v>
      </c>
      <c r="O1" s="60" t="s">
        <v>57</v>
      </c>
      <c r="P1" s="60" t="s">
        <v>55</v>
      </c>
      <c r="Q1" s="60" t="s">
        <v>114</v>
      </c>
      <c r="R1" s="60" t="s">
        <v>58</v>
      </c>
      <c r="S1" s="60" t="s">
        <v>55</v>
      </c>
      <c r="T1" s="60" t="s">
        <v>114</v>
      </c>
      <c r="U1" s="60" t="s">
        <v>21</v>
      </c>
      <c r="V1" s="60" t="s">
        <v>55</v>
      </c>
      <c r="W1" s="60" t="s">
        <v>114</v>
      </c>
      <c r="X1" s="60" t="s">
        <v>23</v>
      </c>
      <c r="Y1" s="60" t="s">
        <v>55</v>
      </c>
      <c r="Z1" s="60" t="s">
        <v>114</v>
      </c>
      <c r="AA1" s="60" t="s">
        <v>59</v>
      </c>
      <c r="AB1" s="60" t="s">
        <v>55</v>
      </c>
      <c r="AC1" s="60" t="s">
        <v>114</v>
      </c>
      <c r="AD1" s="60" t="s">
        <v>108</v>
      </c>
      <c r="AE1" s="60" t="s">
        <v>55</v>
      </c>
      <c r="AF1" s="60" t="s">
        <v>114</v>
      </c>
      <c r="AG1" s="60" t="s">
        <v>60</v>
      </c>
    </row>
    <row r="2" spans="1:33" x14ac:dyDescent="0.2">
      <c r="A2" s="58" t="s">
        <v>70</v>
      </c>
      <c r="B2" s="58" t="s">
        <v>71</v>
      </c>
      <c r="C2" s="58" t="s">
        <v>72</v>
      </c>
      <c r="D2" s="63" t="s">
        <v>134</v>
      </c>
      <c r="E2" s="63" t="s">
        <v>134</v>
      </c>
      <c r="F2" s="61">
        <v>7.6</v>
      </c>
      <c r="G2" s="20" t="s">
        <v>64</v>
      </c>
      <c r="H2" s="81" t="s">
        <v>115</v>
      </c>
      <c r="I2" s="61">
        <v>7.6</v>
      </c>
      <c r="J2" s="20" t="s">
        <v>64</v>
      </c>
      <c r="K2" s="81" t="s">
        <v>115</v>
      </c>
      <c r="L2" s="61">
        <v>0.6</v>
      </c>
      <c r="M2" s="20" t="s">
        <v>64</v>
      </c>
      <c r="N2" s="81" t="s">
        <v>115</v>
      </c>
      <c r="O2" s="61">
        <v>100</v>
      </c>
      <c r="P2" s="20" t="s">
        <v>64</v>
      </c>
      <c r="Q2" s="81" t="s">
        <v>115</v>
      </c>
      <c r="R2" s="61">
        <v>5.5</v>
      </c>
      <c r="S2" s="20" t="s">
        <v>64</v>
      </c>
      <c r="T2" s="81" t="s">
        <v>115</v>
      </c>
      <c r="U2" s="61">
        <v>84</v>
      </c>
      <c r="V2" s="20" t="s">
        <v>64</v>
      </c>
      <c r="W2" s="81" t="s">
        <v>115</v>
      </c>
      <c r="X2" s="61">
        <v>3.2</v>
      </c>
      <c r="Y2" s="20" t="s">
        <v>64</v>
      </c>
      <c r="Z2" s="81" t="s">
        <v>115</v>
      </c>
      <c r="AA2" s="61">
        <v>1.8</v>
      </c>
      <c r="AB2" s="20" t="s">
        <v>64</v>
      </c>
      <c r="AC2" s="81" t="s">
        <v>115</v>
      </c>
      <c r="AD2" s="20">
        <v>7.4999999999999997E-2</v>
      </c>
      <c r="AE2" s="20" t="s">
        <v>64</v>
      </c>
      <c r="AF2" s="81" t="s">
        <v>115</v>
      </c>
      <c r="AG2" s="16">
        <v>10200602</v>
      </c>
    </row>
    <row r="3" spans="1:33" x14ac:dyDescent="0.2">
      <c r="A3" s="58" t="s">
        <v>68</v>
      </c>
      <c r="B3" s="58" t="s">
        <v>82</v>
      </c>
      <c r="C3" s="41" t="s">
        <v>69</v>
      </c>
      <c r="D3" s="63" t="s">
        <v>136</v>
      </c>
      <c r="E3" s="63" t="s">
        <v>136</v>
      </c>
      <c r="F3" s="61">
        <v>1.55</v>
      </c>
      <c r="G3" s="20" t="s">
        <v>64</v>
      </c>
      <c r="H3" s="81" t="s">
        <v>115</v>
      </c>
      <c r="I3" s="61">
        <v>2.2999999999999998</v>
      </c>
      <c r="J3" s="20" t="s">
        <v>64</v>
      </c>
      <c r="K3" s="81" t="s">
        <v>115</v>
      </c>
      <c r="L3" s="61">
        <v>142</v>
      </c>
      <c r="M3" s="20" t="s">
        <v>64</v>
      </c>
      <c r="N3" s="81" t="s">
        <v>115</v>
      </c>
      <c r="O3" s="61">
        <v>20</v>
      </c>
      <c r="P3" s="20" t="s">
        <v>64</v>
      </c>
      <c r="Q3" s="81" t="s">
        <v>115</v>
      </c>
      <c r="R3" s="61">
        <v>0.2</v>
      </c>
      <c r="S3" s="20" t="s">
        <v>64</v>
      </c>
      <c r="T3" s="81" t="s">
        <v>115</v>
      </c>
      <c r="U3" s="61">
        <v>5</v>
      </c>
      <c r="V3" s="20" t="s">
        <v>64</v>
      </c>
      <c r="W3" s="81" t="s">
        <v>115</v>
      </c>
      <c r="X3" s="61">
        <v>0.8</v>
      </c>
      <c r="Y3" s="20" t="s">
        <v>64</v>
      </c>
      <c r="Z3" s="81" t="s">
        <v>115</v>
      </c>
      <c r="AA3" s="61"/>
      <c r="AB3" s="20"/>
      <c r="AC3" s="81"/>
      <c r="AD3" s="20"/>
      <c r="AE3" s="20"/>
      <c r="AF3" s="81"/>
      <c r="AG3" s="16">
        <v>10200502</v>
      </c>
    </row>
    <row r="4" spans="1:33" x14ac:dyDescent="0.2">
      <c r="A4" s="58" t="s">
        <v>78</v>
      </c>
      <c r="B4" s="58" t="s">
        <v>75</v>
      </c>
      <c r="C4" s="58" t="s">
        <v>76</v>
      </c>
      <c r="D4" s="63" t="s">
        <v>136</v>
      </c>
      <c r="E4" s="63" t="s">
        <v>136</v>
      </c>
      <c r="F4" s="61">
        <v>0.90600000000000003</v>
      </c>
      <c r="G4" s="20" t="s">
        <v>64</v>
      </c>
      <c r="H4" s="81" t="s">
        <v>115</v>
      </c>
      <c r="I4" s="61">
        <v>0.90600000000000003</v>
      </c>
      <c r="J4" s="20" t="s">
        <v>64</v>
      </c>
      <c r="K4" s="81" t="s">
        <v>115</v>
      </c>
      <c r="L4" s="61">
        <v>0.1</v>
      </c>
      <c r="M4" s="20" t="s">
        <v>111</v>
      </c>
      <c r="N4" s="81" t="s">
        <v>115</v>
      </c>
      <c r="O4" s="61">
        <v>13</v>
      </c>
      <c r="P4" s="20" t="s">
        <v>111</v>
      </c>
      <c r="Q4" s="81" t="s">
        <v>115</v>
      </c>
      <c r="R4" s="61">
        <v>1</v>
      </c>
      <c r="S4" s="20" t="s">
        <v>111</v>
      </c>
      <c r="T4" s="81" t="s">
        <v>115</v>
      </c>
      <c r="U4" s="61">
        <v>7.5</v>
      </c>
      <c r="V4" s="62" t="s">
        <v>111</v>
      </c>
      <c r="W4" s="81" t="s">
        <v>115</v>
      </c>
      <c r="X4" s="61"/>
      <c r="Y4" s="62"/>
      <c r="Z4" s="81"/>
      <c r="AA4" s="61"/>
      <c r="AB4" s="62"/>
      <c r="AC4" s="81"/>
      <c r="AD4" s="62"/>
      <c r="AE4" s="62"/>
      <c r="AF4" s="81"/>
      <c r="AG4" s="16">
        <v>10301002</v>
      </c>
    </row>
    <row r="5" spans="1:33" x14ac:dyDescent="0.2">
      <c r="A5" s="58" t="s">
        <v>77</v>
      </c>
      <c r="B5" s="58" t="s">
        <v>75</v>
      </c>
      <c r="C5" s="58" t="s">
        <v>76</v>
      </c>
      <c r="D5" s="63" t="s">
        <v>136</v>
      </c>
      <c r="E5" s="63" t="s">
        <v>136</v>
      </c>
      <c r="F5" s="61">
        <v>1.1060000000000001</v>
      </c>
      <c r="G5" s="20" t="s">
        <v>64</v>
      </c>
      <c r="H5" s="81" t="s">
        <v>115</v>
      </c>
      <c r="I5" s="61">
        <v>1.1060000000000001</v>
      </c>
      <c r="J5" s="20" t="s">
        <v>64</v>
      </c>
      <c r="K5" s="81" t="s">
        <v>115</v>
      </c>
      <c r="L5" s="61">
        <v>0.1</v>
      </c>
      <c r="M5" s="20" t="s">
        <v>111</v>
      </c>
      <c r="N5" s="81" t="s">
        <v>115</v>
      </c>
      <c r="O5" s="61">
        <v>13</v>
      </c>
      <c r="P5" s="20" t="s">
        <v>111</v>
      </c>
      <c r="Q5" s="81" t="s">
        <v>115</v>
      </c>
      <c r="R5" s="61">
        <v>1</v>
      </c>
      <c r="S5" s="20" t="s">
        <v>111</v>
      </c>
      <c r="T5" s="81" t="s">
        <v>115</v>
      </c>
      <c r="U5" s="61">
        <v>7.5</v>
      </c>
      <c r="V5" s="62" t="s">
        <v>111</v>
      </c>
      <c r="W5" s="81" t="s">
        <v>115</v>
      </c>
      <c r="X5" s="61"/>
      <c r="Y5" s="62"/>
      <c r="Z5" s="81"/>
      <c r="AA5" s="61"/>
      <c r="AB5" s="62"/>
      <c r="AC5" s="81"/>
      <c r="AD5" s="62"/>
      <c r="AE5" s="62"/>
      <c r="AF5" s="81"/>
      <c r="AG5" s="16">
        <v>10201002</v>
      </c>
    </row>
    <row r="6" spans="1:33" x14ac:dyDescent="0.2">
      <c r="A6" s="58" t="s">
        <v>74</v>
      </c>
      <c r="B6" s="58" t="s">
        <v>71</v>
      </c>
      <c r="C6" s="41" t="s">
        <v>72</v>
      </c>
      <c r="D6" s="63" t="s">
        <v>134</v>
      </c>
      <c r="E6" s="63" t="s">
        <v>134</v>
      </c>
      <c r="F6" s="61">
        <v>20.11</v>
      </c>
      <c r="G6" s="20" t="s">
        <v>64</v>
      </c>
      <c r="H6" s="81" t="s">
        <v>115</v>
      </c>
      <c r="I6" s="61">
        <v>20.11</v>
      </c>
      <c r="J6" s="20" t="s">
        <v>64</v>
      </c>
      <c r="K6" s="81" t="s">
        <v>115</v>
      </c>
      <c r="L6" s="61">
        <v>0.6</v>
      </c>
      <c r="M6" s="20" t="s">
        <v>64</v>
      </c>
      <c r="N6" s="81" t="s">
        <v>115</v>
      </c>
      <c r="O6" s="61">
        <v>2840</v>
      </c>
      <c r="P6" s="20" t="s">
        <v>64</v>
      </c>
      <c r="Q6" s="81" t="s">
        <v>115</v>
      </c>
      <c r="R6" s="61">
        <v>116</v>
      </c>
      <c r="S6" s="20" t="s">
        <v>64</v>
      </c>
      <c r="T6" s="81" t="s">
        <v>115</v>
      </c>
      <c r="U6" s="61">
        <v>399</v>
      </c>
      <c r="V6" s="62" t="s">
        <v>64</v>
      </c>
      <c r="W6" s="81" t="s">
        <v>115</v>
      </c>
      <c r="X6" s="61" t="s">
        <v>100</v>
      </c>
      <c r="Y6" s="62" t="s">
        <v>64</v>
      </c>
      <c r="Z6" s="81" t="s">
        <v>115</v>
      </c>
      <c r="AA6" s="61"/>
      <c r="AB6" s="62"/>
      <c r="AC6" s="81"/>
      <c r="AD6" s="62"/>
      <c r="AE6" s="62"/>
      <c r="AF6" s="81"/>
      <c r="AG6" s="16">
        <v>20200202</v>
      </c>
    </row>
    <row r="7" spans="1:33" x14ac:dyDescent="0.2">
      <c r="A7" s="58" t="s">
        <v>65</v>
      </c>
      <c r="B7" s="58" t="s">
        <v>66</v>
      </c>
      <c r="C7" s="41" t="s">
        <v>63</v>
      </c>
      <c r="D7" s="114" t="s">
        <v>135</v>
      </c>
      <c r="E7" s="114" t="s">
        <v>135</v>
      </c>
      <c r="F7" s="61">
        <v>0.05</v>
      </c>
      <c r="G7" s="20" t="s">
        <v>64</v>
      </c>
      <c r="H7" s="81" t="s">
        <v>115</v>
      </c>
      <c r="I7" s="61">
        <v>0.14000000000000001</v>
      </c>
      <c r="J7" s="20" t="s">
        <v>67</v>
      </c>
      <c r="K7" s="81" t="s">
        <v>116</v>
      </c>
      <c r="L7" s="61">
        <v>1.01</v>
      </c>
      <c r="M7" s="20" t="s">
        <v>110</v>
      </c>
      <c r="N7" s="81" t="s">
        <v>115</v>
      </c>
      <c r="O7" s="61">
        <v>3.2</v>
      </c>
      <c r="P7" s="20" t="s">
        <v>110</v>
      </c>
      <c r="Q7" s="81" t="s">
        <v>115</v>
      </c>
      <c r="R7" s="61">
        <v>0.09</v>
      </c>
      <c r="S7" s="20" t="s">
        <v>110</v>
      </c>
      <c r="T7" s="81" t="s">
        <v>115</v>
      </c>
      <c r="U7" s="61">
        <v>0.85</v>
      </c>
      <c r="V7" s="62" t="s">
        <v>110</v>
      </c>
      <c r="W7" s="81" t="s">
        <v>115</v>
      </c>
      <c r="X7" s="61"/>
      <c r="Y7" s="62"/>
      <c r="Z7" s="81"/>
      <c r="AA7" s="61"/>
      <c r="AB7" s="62"/>
      <c r="AC7" s="81"/>
      <c r="AD7" s="62"/>
      <c r="AE7" s="62"/>
      <c r="AF7" s="81"/>
      <c r="AG7" s="16">
        <v>20200401</v>
      </c>
    </row>
    <row r="8" spans="1:33" x14ac:dyDescent="0.2">
      <c r="A8" s="58" t="s">
        <v>61</v>
      </c>
      <c r="B8" s="58" t="s">
        <v>62</v>
      </c>
      <c r="C8" s="41" t="s">
        <v>63</v>
      </c>
      <c r="D8" s="114" t="s">
        <v>135</v>
      </c>
      <c r="E8" s="114" t="s">
        <v>135</v>
      </c>
      <c r="F8" s="61">
        <v>0.31</v>
      </c>
      <c r="G8" s="20" t="s">
        <v>64</v>
      </c>
      <c r="H8" s="81" t="s">
        <v>115</v>
      </c>
      <c r="I8" s="61">
        <v>0.31</v>
      </c>
      <c r="J8" s="20" t="s">
        <v>109</v>
      </c>
      <c r="K8" s="81" t="s">
        <v>115</v>
      </c>
      <c r="L8" s="61">
        <v>0.28999999999999998</v>
      </c>
      <c r="M8" s="20" t="s">
        <v>109</v>
      </c>
      <c r="N8" s="81" t="s">
        <v>115</v>
      </c>
      <c r="O8" s="61">
        <v>4.41</v>
      </c>
      <c r="P8" s="20" t="s">
        <v>109</v>
      </c>
      <c r="Q8" s="81" t="s">
        <v>115</v>
      </c>
      <c r="R8" s="61">
        <v>0.35</v>
      </c>
      <c r="S8" s="71" t="s">
        <v>109</v>
      </c>
      <c r="T8" s="81" t="s">
        <v>115</v>
      </c>
      <c r="U8" s="61">
        <v>0.95</v>
      </c>
      <c r="V8" s="62" t="s">
        <v>109</v>
      </c>
      <c r="W8" s="81" t="s">
        <v>115</v>
      </c>
      <c r="X8" s="61"/>
      <c r="Y8" s="62"/>
      <c r="Z8" s="81"/>
      <c r="AA8" s="61"/>
      <c r="AB8" s="62"/>
      <c r="AC8" s="81"/>
      <c r="AD8" s="62"/>
      <c r="AE8" s="62"/>
      <c r="AF8" s="81"/>
      <c r="AG8" s="16">
        <v>20200102</v>
      </c>
    </row>
    <row r="9" spans="1:33" x14ac:dyDescent="0.2">
      <c r="A9" s="58"/>
      <c r="B9" s="58"/>
      <c r="C9" s="58"/>
      <c r="D9" s="58"/>
      <c r="E9" s="58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62"/>
      <c r="W9" s="20"/>
      <c r="X9" s="62"/>
      <c r="Y9" s="62"/>
      <c r="Z9" s="20"/>
      <c r="AA9" s="62"/>
      <c r="AB9" s="62"/>
      <c r="AC9" s="20"/>
      <c r="AD9" s="62"/>
      <c r="AE9" s="62"/>
      <c r="AF9" s="20"/>
    </row>
    <row r="10" spans="1:33" x14ac:dyDescent="0.2">
      <c r="A10" s="58"/>
      <c r="B10" s="58"/>
      <c r="C10" s="58"/>
      <c r="D10" s="58"/>
      <c r="E10" s="58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62"/>
      <c r="W10" s="20"/>
      <c r="X10" s="62"/>
      <c r="Y10" s="62"/>
      <c r="Z10" s="20"/>
      <c r="AA10" s="62"/>
      <c r="AB10" s="62"/>
      <c r="AC10" s="20"/>
      <c r="AD10" s="62"/>
      <c r="AE10" s="62"/>
      <c r="AF10" s="20"/>
    </row>
    <row r="11" spans="1:33" x14ac:dyDescent="0.2">
      <c r="A11" s="58"/>
      <c r="B11" s="58"/>
      <c r="C11" s="58"/>
      <c r="D11" s="58"/>
      <c r="E11" s="58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62"/>
      <c r="W11" s="20"/>
      <c r="X11" s="62"/>
      <c r="Y11" s="62"/>
      <c r="Z11" s="20"/>
      <c r="AA11" s="62"/>
      <c r="AB11" s="62"/>
      <c r="AC11" s="20"/>
      <c r="AD11" s="62"/>
      <c r="AE11" s="62"/>
      <c r="AF11" s="20"/>
    </row>
    <row r="12" spans="1:33" x14ac:dyDescent="0.2">
      <c r="A12" s="58"/>
      <c r="B12" s="58"/>
      <c r="C12" s="58"/>
      <c r="D12" s="58"/>
      <c r="E12" s="58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62"/>
      <c r="W12" s="20"/>
      <c r="X12" s="62"/>
      <c r="Y12" s="62"/>
      <c r="Z12" s="20"/>
      <c r="AA12" s="62"/>
      <c r="AB12" s="62"/>
      <c r="AC12" s="20"/>
      <c r="AD12" s="62"/>
      <c r="AE12" s="62"/>
      <c r="AF12" s="20"/>
    </row>
    <row r="13" spans="1:33" x14ac:dyDescent="0.2">
      <c r="A13" s="58"/>
      <c r="B13" s="58"/>
      <c r="C13" s="58"/>
      <c r="D13" s="58"/>
      <c r="E13" s="58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62"/>
      <c r="W13" s="20"/>
      <c r="X13" s="62"/>
      <c r="Y13" s="62"/>
      <c r="Z13" s="20"/>
      <c r="AA13" s="62"/>
      <c r="AB13" s="62"/>
      <c r="AC13" s="20"/>
      <c r="AD13" s="62"/>
      <c r="AE13" s="62"/>
      <c r="AF13" s="20"/>
    </row>
    <row r="14" spans="1:33" x14ac:dyDescent="0.2">
      <c r="A14" s="58"/>
      <c r="B14" s="58"/>
      <c r="C14" s="58"/>
      <c r="D14" s="58"/>
      <c r="E14" s="58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2"/>
      <c r="W14" s="20"/>
      <c r="X14" s="62"/>
      <c r="Y14" s="62"/>
      <c r="Z14" s="20"/>
      <c r="AA14" s="62"/>
      <c r="AB14" s="62"/>
      <c r="AC14" s="20"/>
      <c r="AD14" s="62"/>
      <c r="AE14" s="62"/>
      <c r="AF14" s="20"/>
    </row>
    <row r="15" spans="1:33" x14ac:dyDescent="0.2">
      <c r="A15" s="58"/>
      <c r="B15" s="58"/>
      <c r="C15" s="58"/>
      <c r="D15" s="58"/>
      <c r="E15" s="58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62"/>
      <c r="W15" s="20"/>
      <c r="X15" s="62"/>
      <c r="Y15" s="62"/>
      <c r="Z15" s="20"/>
      <c r="AA15" s="62"/>
      <c r="AB15" s="62"/>
      <c r="AC15" s="20"/>
      <c r="AD15" s="62"/>
      <c r="AE15" s="62"/>
      <c r="AF15" s="20"/>
    </row>
    <row r="16" spans="1:33" x14ac:dyDescent="0.2">
      <c r="A16" s="58"/>
      <c r="B16" s="58"/>
      <c r="C16" s="58"/>
      <c r="D16" s="58"/>
      <c r="E16" s="58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62"/>
      <c r="W16" s="20"/>
      <c r="X16" s="62"/>
      <c r="Y16" s="62"/>
      <c r="Z16" s="20"/>
      <c r="AA16" s="62"/>
      <c r="AB16" s="62"/>
      <c r="AC16" s="20"/>
      <c r="AD16" s="62"/>
      <c r="AE16" s="62"/>
      <c r="AF16" s="20"/>
    </row>
    <row r="17" spans="1:32" x14ac:dyDescent="0.2">
      <c r="A17" s="58"/>
      <c r="B17" s="58"/>
      <c r="C17" s="58"/>
      <c r="D17" s="58"/>
      <c r="E17" s="58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62"/>
      <c r="W17" s="20"/>
      <c r="X17" s="62"/>
      <c r="Y17" s="62"/>
      <c r="Z17" s="20"/>
      <c r="AA17" s="62"/>
      <c r="AB17" s="62"/>
      <c r="AC17" s="20"/>
      <c r="AD17" s="62"/>
      <c r="AE17" s="62"/>
      <c r="AF17" s="20"/>
    </row>
    <row r="18" spans="1:32" x14ac:dyDescent="0.2">
      <c r="A18" s="58"/>
      <c r="B18" s="58"/>
      <c r="C18" s="58"/>
      <c r="D18" s="58"/>
      <c r="E18" s="58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62"/>
      <c r="W18" s="20"/>
      <c r="X18" s="62"/>
      <c r="Y18" s="62"/>
      <c r="Z18" s="20"/>
      <c r="AA18" s="62"/>
      <c r="AB18" s="62"/>
      <c r="AC18" s="20"/>
      <c r="AD18" s="62"/>
      <c r="AE18" s="62"/>
      <c r="AF18" s="20"/>
    </row>
    <row r="19" spans="1:32" x14ac:dyDescent="0.2">
      <c r="A19" s="58"/>
      <c r="B19" s="58"/>
      <c r="C19" s="58"/>
      <c r="D19" s="58"/>
      <c r="E19" s="58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62"/>
      <c r="W19" s="20"/>
      <c r="X19" s="62"/>
      <c r="Y19" s="62"/>
      <c r="Z19" s="20"/>
      <c r="AA19" s="62"/>
      <c r="AB19" s="62"/>
      <c r="AC19" s="20"/>
      <c r="AD19" s="62"/>
      <c r="AE19" s="62"/>
      <c r="AF19" s="20"/>
    </row>
    <row r="20" spans="1:32" x14ac:dyDescent="0.2">
      <c r="A20" s="58"/>
      <c r="B20" s="58"/>
      <c r="C20" s="58"/>
      <c r="D20" s="58"/>
      <c r="E20" s="58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62"/>
      <c r="W20" s="20"/>
      <c r="X20" s="62"/>
      <c r="Y20" s="62"/>
      <c r="Z20" s="20"/>
      <c r="AA20" s="62"/>
      <c r="AB20" s="62"/>
      <c r="AC20" s="20"/>
      <c r="AD20" s="62"/>
      <c r="AE20" s="62"/>
      <c r="AF20" s="20"/>
    </row>
    <row r="21" spans="1:32" x14ac:dyDescent="0.2">
      <c r="A21" s="63"/>
      <c r="B21" s="63"/>
      <c r="C21" s="63"/>
      <c r="D21" s="63"/>
      <c r="E21" s="63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62"/>
      <c r="W21" s="20"/>
      <c r="X21" s="62"/>
      <c r="Y21" s="62"/>
      <c r="Z21" s="20"/>
      <c r="AA21" s="62"/>
      <c r="AB21" s="62"/>
      <c r="AC21" s="20"/>
      <c r="AD21" s="62"/>
      <c r="AE21" s="62"/>
      <c r="AF21" s="20"/>
    </row>
    <row r="22" spans="1:32" x14ac:dyDescent="0.2">
      <c r="A22" s="58"/>
      <c r="B22" s="58"/>
      <c r="C22" s="58"/>
      <c r="D22" s="58"/>
      <c r="E22" s="5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62"/>
      <c r="W22" s="20"/>
      <c r="X22" s="62"/>
      <c r="Y22" s="62"/>
      <c r="Z22" s="20"/>
      <c r="AA22" s="62"/>
      <c r="AB22" s="62"/>
      <c r="AC22" s="20"/>
      <c r="AD22" s="62"/>
      <c r="AE22" s="62"/>
      <c r="AF22" s="20"/>
    </row>
    <row r="23" spans="1:32" x14ac:dyDescent="0.2">
      <c r="A23" s="63"/>
      <c r="B23" s="63"/>
      <c r="C23" s="63"/>
      <c r="D23" s="63"/>
      <c r="E23" s="63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62"/>
      <c r="W23" s="20"/>
      <c r="X23" s="62"/>
      <c r="Y23" s="62"/>
      <c r="Z23" s="20"/>
      <c r="AA23" s="62"/>
      <c r="AB23" s="62"/>
      <c r="AC23" s="20"/>
      <c r="AD23" s="62"/>
      <c r="AE23" s="62"/>
      <c r="AF23" s="20"/>
    </row>
    <row r="24" spans="1:32" x14ac:dyDescent="0.2">
      <c r="A24" s="63"/>
      <c r="B24" s="63"/>
      <c r="C24" s="63"/>
      <c r="D24" s="63"/>
      <c r="E24" s="63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62"/>
      <c r="W24" s="20"/>
      <c r="X24" s="62"/>
      <c r="Y24" s="62"/>
      <c r="Z24" s="20"/>
      <c r="AA24" s="62"/>
      <c r="AB24" s="62"/>
      <c r="AC24" s="20"/>
      <c r="AD24" s="62"/>
      <c r="AE24" s="62"/>
      <c r="AF24" s="20"/>
    </row>
    <row r="25" spans="1:32" x14ac:dyDescent="0.2">
      <c r="A25" s="63"/>
      <c r="B25" s="63"/>
      <c r="C25" s="63"/>
      <c r="D25" s="63"/>
      <c r="E25" s="63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62"/>
      <c r="W25" s="20"/>
      <c r="X25" s="62"/>
      <c r="Y25" s="62"/>
      <c r="Z25" s="20"/>
      <c r="AA25" s="62"/>
      <c r="AB25" s="62"/>
      <c r="AC25" s="20"/>
      <c r="AD25" s="62"/>
      <c r="AE25" s="62"/>
      <c r="AF25" s="20"/>
    </row>
    <row r="26" spans="1:32" x14ac:dyDescent="0.2">
      <c r="A26" s="63"/>
      <c r="B26" s="63"/>
      <c r="C26" s="63"/>
      <c r="D26" s="63"/>
      <c r="E26" s="63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62"/>
      <c r="W26" s="20"/>
      <c r="X26" s="62"/>
      <c r="Y26" s="62"/>
      <c r="Z26" s="20"/>
      <c r="AA26" s="62"/>
      <c r="AB26" s="62"/>
      <c r="AC26" s="20"/>
      <c r="AD26" s="62"/>
      <c r="AE26" s="62"/>
      <c r="AF26" s="20"/>
    </row>
    <row r="27" spans="1:32" x14ac:dyDescent="0.2">
      <c r="A27" s="63"/>
      <c r="B27" s="63"/>
      <c r="C27" s="63"/>
      <c r="D27" s="63"/>
      <c r="E27" s="63"/>
      <c r="V27" s="64"/>
      <c r="X27" s="64"/>
      <c r="Y27" s="64"/>
      <c r="AA27" s="64"/>
      <c r="AB27" s="64"/>
      <c r="AD27" s="64"/>
      <c r="AE27" s="64"/>
    </row>
    <row r="28" spans="1:32" x14ac:dyDescent="0.2">
      <c r="A28" s="63"/>
      <c r="B28" s="63"/>
      <c r="C28" s="63"/>
      <c r="D28" s="63"/>
      <c r="E28" s="63"/>
      <c r="V28" s="64"/>
      <c r="X28" s="64"/>
      <c r="Y28" s="64"/>
      <c r="AA28" s="64"/>
      <c r="AB28" s="64"/>
      <c r="AD28" s="64"/>
      <c r="AE28" s="64"/>
    </row>
    <row r="29" spans="1:32" x14ac:dyDescent="0.2">
      <c r="A29" s="63"/>
      <c r="B29" s="63"/>
      <c r="C29" s="63"/>
      <c r="D29" s="63"/>
      <c r="E29" s="63"/>
      <c r="V29" s="64"/>
      <c r="X29" s="64"/>
      <c r="Y29" s="64"/>
      <c r="AA29" s="64"/>
      <c r="AB29" s="64"/>
      <c r="AD29" s="64"/>
      <c r="AE29" s="64"/>
    </row>
    <row r="30" spans="1:32" x14ac:dyDescent="0.2">
      <c r="A30" s="63"/>
      <c r="B30" s="63"/>
      <c r="C30" s="63"/>
      <c r="D30" s="63"/>
      <c r="E30" s="63"/>
      <c r="V30" s="64"/>
      <c r="X30" s="64"/>
      <c r="Y30" s="64"/>
      <c r="AA30" s="64"/>
      <c r="AB30" s="64"/>
      <c r="AD30" s="64"/>
      <c r="AE30" s="64"/>
    </row>
    <row r="31" spans="1:32" x14ac:dyDescent="0.2">
      <c r="A31" s="63"/>
      <c r="B31" s="63"/>
      <c r="C31" s="63"/>
      <c r="D31" s="63"/>
      <c r="E31" s="63"/>
      <c r="V31" s="64"/>
      <c r="X31" s="64"/>
      <c r="Y31" s="64"/>
      <c r="AA31" s="64"/>
      <c r="AB31" s="64"/>
      <c r="AD31" s="64"/>
      <c r="AE31" s="64"/>
    </row>
    <row r="32" spans="1:32" x14ac:dyDescent="0.2">
      <c r="A32" s="63"/>
      <c r="B32" s="63"/>
      <c r="C32" s="63"/>
      <c r="D32" s="63"/>
      <c r="E32" s="63"/>
      <c r="V32" s="64"/>
      <c r="X32" s="64"/>
      <c r="Y32" s="64"/>
      <c r="AA32" s="64"/>
      <c r="AB32" s="64"/>
      <c r="AD32" s="64"/>
      <c r="AE32" s="64"/>
    </row>
    <row r="33" spans="1:32" x14ac:dyDescent="0.2">
      <c r="A33" s="63"/>
      <c r="B33" s="63"/>
      <c r="C33" s="63"/>
      <c r="D33" s="63"/>
      <c r="E33" s="63"/>
      <c r="V33" s="64"/>
      <c r="X33" s="64"/>
      <c r="Y33" s="64"/>
      <c r="AA33" s="64"/>
      <c r="AB33" s="64"/>
      <c r="AD33" s="64"/>
      <c r="AE33" s="64"/>
    </row>
    <row r="34" spans="1:32" x14ac:dyDescent="0.2">
      <c r="A34" s="63"/>
      <c r="B34" s="63"/>
      <c r="C34" s="63"/>
      <c r="D34" s="63"/>
      <c r="E34" s="63"/>
      <c r="V34" s="64"/>
      <c r="X34" s="64"/>
      <c r="Y34" s="64"/>
      <c r="AA34" s="64"/>
      <c r="AB34" s="64"/>
      <c r="AD34" s="64"/>
      <c r="AE34" s="64"/>
    </row>
    <row r="35" spans="1:32" x14ac:dyDescent="0.2">
      <c r="A35" s="63"/>
      <c r="B35" s="63"/>
      <c r="C35" s="63"/>
      <c r="D35" s="63"/>
      <c r="E35" s="63"/>
      <c r="V35" s="64"/>
      <c r="X35" s="64"/>
      <c r="Y35" s="64"/>
      <c r="AA35" s="64"/>
      <c r="AB35" s="64"/>
      <c r="AD35" s="64"/>
      <c r="AE35" s="64"/>
    </row>
    <row r="36" spans="1:32" x14ac:dyDescent="0.2">
      <c r="A36" s="63"/>
      <c r="B36" s="63"/>
      <c r="C36" s="63"/>
      <c r="D36" s="63"/>
      <c r="E36" s="63"/>
      <c r="V36" s="64"/>
      <c r="X36" s="64"/>
      <c r="Y36" s="64"/>
      <c r="AA36" s="64"/>
      <c r="AB36" s="64"/>
      <c r="AD36" s="64"/>
      <c r="AE36" s="64"/>
    </row>
    <row r="37" spans="1:32" x14ac:dyDescent="0.2">
      <c r="A37" s="63"/>
      <c r="B37" s="63"/>
      <c r="C37" s="63"/>
      <c r="D37" s="63"/>
      <c r="E37" s="63"/>
      <c r="V37" s="64"/>
      <c r="X37" s="64"/>
      <c r="Y37" s="64"/>
      <c r="AA37" s="64"/>
      <c r="AB37" s="64"/>
      <c r="AD37" s="64"/>
      <c r="AE37" s="64"/>
    </row>
    <row r="38" spans="1:32" x14ac:dyDescent="0.2">
      <c r="A38" s="63"/>
      <c r="B38" s="63"/>
      <c r="C38" s="63"/>
      <c r="D38" s="63"/>
      <c r="E38" s="63"/>
      <c r="V38" s="64"/>
      <c r="X38" s="64"/>
      <c r="Y38" s="64"/>
      <c r="AA38" s="64"/>
      <c r="AB38" s="64"/>
      <c r="AD38" s="64"/>
      <c r="AE38" s="64"/>
    </row>
    <row r="39" spans="1:32" x14ac:dyDescent="0.2">
      <c r="A39" s="63"/>
      <c r="B39" s="63"/>
      <c r="C39" s="63"/>
      <c r="D39" s="63"/>
      <c r="E39" s="63"/>
      <c r="V39" s="64"/>
      <c r="X39" s="64"/>
      <c r="Y39" s="64"/>
      <c r="AA39" s="64"/>
      <c r="AB39" s="64"/>
      <c r="AD39" s="64"/>
      <c r="AE39" s="64"/>
    </row>
    <row r="40" spans="1:32" x14ac:dyDescent="0.2">
      <c r="A40" s="63"/>
      <c r="B40" s="63"/>
      <c r="C40" s="63"/>
      <c r="D40" s="63"/>
      <c r="E40" s="63"/>
      <c r="V40" s="64"/>
      <c r="X40" s="64"/>
      <c r="Y40" s="64"/>
      <c r="AA40" s="64"/>
      <c r="AB40" s="64"/>
      <c r="AD40" s="64"/>
      <c r="AE40" s="64"/>
    </row>
    <row r="41" spans="1:32" x14ac:dyDescent="0.2">
      <c r="A41" s="63"/>
      <c r="B41" s="63"/>
      <c r="C41" s="63"/>
      <c r="D41" s="63"/>
      <c r="E41" s="63"/>
      <c r="V41" s="64"/>
      <c r="X41" s="64"/>
      <c r="Y41" s="64"/>
      <c r="AA41" s="64"/>
      <c r="AB41" s="64"/>
      <c r="AD41" s="64"/>
      <c r="AE41" s="64"/>
    </row>
    <row r="42" spans="1:32" s="55" customFormat="1" x14ac:dyDescent="0.2">
      <c r="A42" s="41"/>
      <c r="B42" s="41"/>
      <c r="C42" s="41"/>
      <c r="D42" s="41"/>
      <c r="E42" s="41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W42" s="16"/>
      <c r="Z42" s="16"/>
      <c r="AC42" s="16"/>
      <c r="AF42" s="16"/>
    </row>
  </sheetData>
  <sheetProtection algorithmName="SHA-512" hashValue="pWZ5SFbvHFQtPwC2GTGL8htkZbhxJSBVaLXFMm9KmHVxonwqXYJ2BXl5EsdKLrELCgaSYNANF6P/gtbT+1GAEQ==" saltValue="N/CqX3gt8X82v8petLnOOw==" spinCount="100000" sheet="1" objects="1" scenarios="1"/>
  <phoneticPr fontId="5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Combustion</vt:lpstr>
      <vt:lpstr>Permit Limits</vt:lpstr>
      <vt:lpstr>INV-3</vt:lpstr>
      <vt:lpstr>Process Emissions</vt:lpstr>
      <vt:lpstr>Emission Factors</vt:lpstr>
      <vt:lpstr>'Process Emissions'!Print_Area</vt:lpstr>
    </vt:vector>
  </TitlesOfParts>
  <Company>iwrc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Gedlinske</dc:creator>
  <cp:lastModifiedBy>Jennifer L Wittenburg</cp:lastModifiedBy>
  <cp:lastPrinted>2022-10-12T15:58:43Z</cp:lastPrinted>
  <dcterms:created xsi:type="dcterms:W3CDTF">1999-10-20T15:39:50Z</dcterms:created>
  <dcterms:modified xsi:type="dcterms:W3CDTF">2022-10-12T16:07:02Z</dcterms:modified>
</cp:coreProperties>
</file>