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mc:AlternateContent xmlns:mc="http://schemas.openxmlformats.org/markup-compatibility/2006">
    <mc:Choice Requires="x15">
      <x15ac:absPath xmlns:x15ac="http://schemas.microsoft.com/office/spreadsheetml/2010/11/ac" url="C:\Hard drive\Manual\New chapters\"/>
    </mc:Choice>
  </mc:AlternateContent>
  <xr:revisionPtr revIDLastSave="0" documentId="13_ncr:1_{969D760C-262C-4562-B4BC-BD567C71BE7C}" xr6:coauthVersionLast="36" xr6:coauthVersionMax="36" xr10:uidLastSave="{00000000-0000-0000-0000-000000000000}"/>
  <bookViews>
    <workbookView xWindow="-28920" yWindow="-7230" windowWidth="29040" windowHeight="17640" tabRatio="758" xr2:uid="{00000000-000D-0000-FFFF-FFFF00000000}"/>
  </bookViews>
  <sheets>
    <sheet name="DISCLAIMER" sheetId="11" r:id="rId1"/>
    <sheet name="CL_1 - Site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Site Screening'!$A$1:$J$70</definedName>
    <definedName name="_xlnm.Print_Area" localSheetId="2">'CL_2 - Design Summary'!$A$1:$I$61</definedName>
    <definedName name="_xlnm.Print_Area" localSheetId="3">'DE_1 - Watershed Info'!$A$1:$G$52</definedName>
    <definedName name="_xlnm.Print_Area" localSheetId="0">DISCLAIMER!$A$1:$J$58</definedName>
    <definedName name="_xlnm.Print_Area" localSheetId="4">'Step 3 - Hydrology'!$A$1:$H$47</definedName>
    <definedName name="_xlnm.Print_Area" localSheetId="5">'Step 4 - Pre-treat'!$A$1:$F$51</definedName>
    <definedName name="_xlnm.Print_Area" localSheetId="6">'Step 5-7 Final Storage Volumes'!$A$1:$I$45</definedName>
    <definedName name="_xlnm.Print_Area" localSheetId="7">'Step 9 - Results'!$A$1:$G$43</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0" l="1"/>
  <c r="E24" i="10"/>
  <c r="D24" i="10"/>
  <c r="I25" i="10" l="1"/>
  <c r="D25" i="10"/>
  <c r="D23" i="10"/>
  <c r="C17" i="10"/>
  <c r="C19" i="10"/>
  <c r="G43" i="8" l="1"/>
  <c r="I45" i="2"/>
  <c r="F51" i="7"/>
  <c r="H47" i="5"/>
  <c r="G52" i="4"/>
  <c r="I61" i="10"/>
  <c r="F42" i="10" l="1"/>
  <c r="H41" i="10"/>
  <c r="H46" i="10"/>
  <c r="H45" i="10"/>
  <c r="H37" i="10"/>
  <c r="I37" i="10" s="1"/>
  <c r="A1" i="3" l="1"/>
  <c r="A1" i="10" s="1"/>
  <c r="D19" i="10" l="1"/>
  <c r="S39" i="5" l="1"/>
  <c r="B39" i="5" s="1"/>
  <c r="S44" i="5" l="1"/>
  <c r="S43" i="5"/>
  <c r="B43" i="5" s="1"/>
  <c r="S42" i="5"/>
  <c r="B42" i="5" s="1"/>
  <c r="S41" i="5"/>
  <c r="B41" i="5" s="1"/>
  <c r="S40" i="5"/>
  <c r="B40" i="5" s="1"/>
  <c r="F37" i="5" l="1"/>
  <c r="C44" i="5"/>
  <c r="C38" i="5"/>
  <c r="C39" i="5"/>
  <c r="D39" i="5" s="1"/>
  <c r="C40" i="5"/>
  <c r="C41" i="5"/>
  <c r="C42" i="5"/>
  <c r="C43" i="5"/>
  <c r="C37" i="5"/>
  <c r="B15" i="8"/>
  <c r="B16" i="8"/>
  <c r="B17" i="8"/>
  <c r="B18" i="8"/>
  <c r="B19" i="8"/>
  <c r="B44" i="5"/>
  <c r="B20" i="8" s="1"/>
  <c r="A34" i="5"/>
  <c r="S37" i="5" l="1"/>
  <c r="B37" i="5" s="1"/>
  <c r="E31" i="5"/>
  <c r="S38" i="5" s="1"/>
  <c r="B38" i="5" l="1"/>
  <c r="B13" i="8"/>
  <c r="D37" i="5"/>
  <c r="E37" i="5" s="1"/>
  <c r="G37" i="5" s="1"/>
  <c r="E27" i="8" s="1"/>
  <c r="D7" i="7"/>
  <c r="D46" i="7"/>
  <c r="D42" i="7"/>
  <c r="D43" i="7"/>
  <c r="D44" i="7"/>
  <c r="D45" i="7"/>
  <c r="D31" i="7"/>
  <c r="D32" i="7"/>
  <c r="D33" i="7"/>
  <c r="B42" i="7"/>
  <c r="B43" i="7"/>
  <c r="B44" i="7"/>
  <c r="B45" i="7"/>
  <c r="B31" i="7"/>
  <c r="B32" i="7"/>
  <c r="B33" i="7"/>
  <c r="D34" i="7" s="1"/>
  <c r="B34" i="7"/>
  <c r="B20" i="7"/>
  <c r="B21" i="7"/>
  <c r="B22" i="7"/>
  <c r="B23" i="7"/>
  <c r="D38" i="5" l="1"/>
  <c r="E38" i="5" s="1"/>
  <c r="B14" i="8"/>
  <c r="C18" i="10" s="1"/>
  <c r="H37" i="5"/>
  <c r="F13" i="8"/>
  <c r="B27" i="8" s="1"/>
  <c r="D27" i="8" s="1"/>
  <c r="F27" i="8"/>
  <c r="G27" i="8" s="1"/>
  <c r="D21" i="7"/>
  <c r="D23" i="7"/>
  <c r="D22" i="7"/>
  <c r="B41" i="7"/>
  <c r="B40" i="7"/>
  <c r="B30" i="7"/>
  <c r="B29" i="7"/>
  <c r="D30" i="7" s="1"/>
  <c r="E30" i="7" s="1"/>
  <c r="E31" i="7" s="1"/>
  <c r="E32" i="7" s="1"/>
  <c r="E33" i="7" s="1"/>
  <c r="E34" i="7" s="1"/>
  <c r="B19" i="7"/>
  <c r="D20" i="7" s="1"/>
  <c r="B18" i="7"/>
  <c r="D19" i="7" l="1"/>
  <c r="D41" i="7"/>
  <c r="E41" i="7" s="1"/>
  <c r="E42" i="7" s="1"/>
  <c r="E43" i="7" s="1"/>
  <c r="E44" i="7" s="1"/>
  <c r="E45" i="7" s="1"/>
  <c r="F28" i="8"/>
  <c r="F31" i="8"/>
  <c r="F30" i="8"/>
  <c r="F29" i="8"/>
  <c r="F46" i="4"/>
  <c r="F30" i="4"/>
  <c r="F26" i="10"/>
  <c r="E26" i="10"/>
  <c r="D26" i="10"/>
  <c r="I24" i="10"/>
  <c r="I12" i="10"/>
  <c r="I11" i="10"/>
  <c r="E29" i="3"/>
  <c r="G31" i="3"/>
  <c r="A5" i="2"/>
  <c r="D21" i="2"/>
  <c r="D22" i="2"/>
  <c r="E22" i="2" s="1"/>
  <c r="D23" i="2"/>
  <c r="E23" i="2" s="1"/>
  <c r="D24" i="2"/>
  <c r="E24" i="2" s="1"/>
  <c r="D25" i="2"/>
  <c r="E25" i="2" s="1"/>
  <c r="A16" i="2"/>
  <c r="A17" i="2" s="1"/>
  <c r="A18" i="2" s="1"/>
  <c r="A19" i="2" s="1"/>
  <c r="A20" i="2" s="1"/>
  <c r="A21" i="2" s="1"/>
  <c r="A22" i="2" s="1"/>
  <c r="A23" i="2" s="1"/>
  <c r="A24" i="2" s="1"/>
  <c r="A25" i="2" s="1"/>
  <c r="F40" i="10" l="1"/>
  <c r="E25" i="10"/>
  <c r="A6" i="2"/>
  <c r="A7" i="2"/>
  <c r="B14" i="2"/>
  <c r="F25" i="10" l="1"/>
  <c r="H39" i="10"/>
  <c r="B25" i="2"/>
  <c r="B17" i="2"/>
  <c r="B24" i="2"/>
  <c r="B16" i="2"/>
  <c r="B15" i="2"/>
  <c r="B19" i="2"/>
  <c r="B18" i="2"/>
  <c r="B23" i="2"/>
  <c r="B22" i="2"/>
  <c r="B21" i="2"/>
  <c r="B20" i="2"/>
  <c r="I19" i="10"/>
  <c r="H19" i="10"/>
  <c r="G19" i="10"/>
  <c r="F19" i="10"/>
  <c r="E19" i="10"/>
  <c r="C5" i="10"/>
  <c r="C3" i="10"/>
  <c r="B2" i="4"/>
  <c r="D17" i="2" l="1"/>
  <c r="D20" i="2"/>
  <c r="D18" i="2"/>
  <c r="D19" i="2"/>
  <c r="D15" i="2"/>
  <c r="E15" i="2" s="1"/>
  <c r="D16" i="2"/>
  <c r="B2" i="8"/>
  <c r="B2" i="2"/>
  <c r="B2" i="7"/>
  <c r="B2" i="5"/>
  <c r="G5" i="3"/>
  <c r="F32" i="8"/>
  <c r="F33" i="8"/>
  <c r="F34" i="8"/>
  <c r="D29" i="8"/>
  <c r="D30" i="8"/>
  <c r="D31" i="8"/>
  <c r="D32" i="8"/>
  <c r="D33" i="8"/>
  <c r="D34" i="8"/>
  <c r="D28" i="8"/>
  <c r="E19" i="7"/>
  <c r="F39" i="5"/>
  <c r="F40" i="5"/>
  <c r="F41" i="5"/>
  <c r="F42" i="5"/>
  <c r="F43" i="5"/>
  <c r="F44" i="5"/>
  <c r="F38" i="5"/>
  <c r="G38" i="5" s="1"/>
  <c r="H38" i="5" s="1"/>
  <c r="D41" i="5"/>
  <c r="E41" i="5" s="1"/>
  <c r="D42" i="5"/>
  <c r="E42" i="5" s="1"/>
  <c r="D43" i="5"/>
  <c r="E43" i="5" s="1"/>
  <c r="D44" i="5"/>
  <c r="E44" i="5" s="1"/>
  <c r="D18" i="10"/>
  <c r="D21" i="10" s="1"/>
  <c r="E18" i="10"/>
  <c r="E21" i="10" s="1"/>
  <c r="F18" i="10"/>
  <c r="F21" i="10" s="1"/>
  <c r="C44" i="4"/>
  <c r="C28" i="4"/>
  <c r="C13" i="4"/>
  <c r="C14" i="4" s="1"/>
  <c r="E16" i="2" l="1"/>
  <c r="E17" i="2" s="1"/>
  <c r="E18" i="2" s="1"/>
  <c r="E19" i="2" s="1"/>
  <c r="G42" i="5"/>
  <c r="H42" i="5" s="1"/>
  <c r="G43" i="5"/>
  <c r="H43" i="5" s="1"/>
  <c r="G44" i="5"/>
  <c r="E34" i="8" s="1"/>
  <c r="G34" i="8" s="1"/>
  <c r="C45" i="4"/>
  <c r="F44" i="4" s="1"/>
  <c r="C29" i="3"/>
  <c r="E29" i="10" s="1"/>
  <c r="D40" i="5"/>
  <c r="E40" i="5" s="1"/>
  <c r="G40" i="5" s="1"/>
  <c r="E30" i="8" s="1"/>
  <c r="G30" i="8" s="1"/>
  <c r="H18" i="10"/>
  <c r="H21" i="10" s="1"/>
  <c r="G41" i="5"/>
  <c r="E31" i="8" s="1"/>
  <c r="G31" i="8" s="1"/>
  <c r="E39" i="5"/>
  <c r="G39" i="5" s="1"/>
  <c r="I18" i="10"/>
  <c r="I21" i="10" s="1"/>
  <c r="G18" i="10"/>
  <c r="G21" i="10" s="1"/>
  <c r="D46" i="4"/>
  <c r="C29" i="4"/>
  <c r="G2" i="4"/>
  <c r="G5" i="10"/>
  <c r="C7" i="5"/>
  <c r="C7" i="8"/>
  <c r="G2" i="5"/>
  <c r="F2" i="8"/>
  <c r="G2" i="2"/>
  <c r="E2" i="7"/>
  <c r="E20" i="7"/>
  <c r="D30" i="4"/>
  <c r="E21" i="7" l="1"/>
  <c r="E22" i="7" s="1"/>
  <c r="E23" i="7" s="1"/>
  <c r="D47" i="7"/>
  <c r="F12" i="10" s="1"/>
  <c r="E28" i="5"/>
  <c r="E29" i="5" s="1"/>
  <c r="H44" i="5"/>
  <c r="E32" i="8"/>
  <c r="G32" i="8" s="1"/>
  <c r="F15" i="8"/>
  <c r="B29" i="8" s="1"/>
  <c r="C21" i="10"/>
  <c r="E33" i="8"/>
  <c r="G33" i="8" s="1"/>
  <c r="E28" i="8"/>
  <c r="G28" i="8" s="1"/>
  <c r="G47" i="4"/>
  <c r="F9" i="5" s="1"/>
  <c r="F45" i="4"/>
  <c r="H40" i="5"/>
  <c r="H41" i="5"/>
  <c r="H39" i="5"/>
  <c r="E29" i="8"/>
  <c r="G29" i="8" s="1"/>
  <c r="F18" i="8"/>
  <c r="B32" i="8" s="1"/>
  <c r="F16" i="8"/>
  <c r="B30" i="8" s="1"/>
  <c r="F17" i="8"/>
  <c r="B31" i="8" s="1"/>
  <c r="F14" i="8"/>
  <c r="B28" i="8" s="1"/>
  <c r="F19" i="8"/>
  <c r="B33" i="8" s="1"/>
  <c r="F20" i="8"/>
  <c r="B34" i="8" s="1"/>
  <c r="D47" i="4"/>
  <c r="F7" i="5"/>
  <c r="C5" i="2" l="1"/>
  <c r="B7" i="7"/>
  <c r="B8" i="7" s="1"/>
  <c r="C6" i="2" s="1"/>
  <c r="C11" i="10"/>
  <c r="E20" i="2"/>
  <c r="C8" i="5"/>
  <c r="F8" i="5"/>
  <c r="D10" i="5"/>
  <c r="D9" i="5"/>
  <c r="F28" i="4"/>
  <c r="F29" i="4" s="1"/>
  <c r="C12" i="10" l="1"/>
  <c r="H12" i="10" s="1"/>
  <c r="E21" i="2"/>
  <c r="G27" i="2" s="1"/>
  <c r="B11" i="7"/>
  <c r="C7" i="2" s="1"/>
  <c r="D31" i="4"/>
  <c r="G31" i="4"/>
  <c r="E27" i="2" l="1"/>
  <c r="D48" i="7"/>
  <c r="F48" i="7" s="1"/>
  <c r="E3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C27" authorId="0" shapeId="0" xr:uid="{0A8D3538-DC03-4E57-A6CA-1A8653F295EE}">
      <text>
        <r>
          <rPr>
            <sz val="9"/>
            <color indexed="81"/>
            <rFont val="Tahoma"/>
            <family val="2"/>
          </rPr>
          <t>Example: "Row crop", "Trees", "Impervious", "Lawn", etc.</t>
        </r>
      </text>
    </comment>
    <comment ref="C29" authorId="0" shapeId="0" xr:uid="{493FE101-8884-45CC-A54B-6253D7FD9411}">
      <text>
        <r>
          <rPr>
            <sz val="9"/>
            <color indexed="81"/>
            <rFont val="Tahoma"/>
            <family val="2"/>
          </rPr>
          <t xml:space="preserve">Populates when sheet DE_1 is completed
May be manually entered at right
</t>
        </r>
      </text>
    </comment>
    <comment ref="E31" authorId="0" shapeId="0" xr:uid="{FDE20617-1CCA-4852-A3E1-4055A7E8E739}">
      <text>
        <r>
          <rPr>
            <sz val="9"/>
            <color indexed="81"/>
            <rFont val="Tahoma"/>
            <family val="2"/>
          </rPr>
          <t xml:space="preserve">Example, 1-2%
</t>
        </r>
      </text>
    </comment>
    <comment ref="D58" authorId="0" shapeId="0" xr:uid="{6E783EA1-DBC8-4818-B7D7-5F848963CBD4}">
      <text>
        <r>
          <rPr>
            <sz val="9"/>
            <color indexed="81"/>
            <rFont val="Tahoma"/>
            <family val="2"/>
          </rPr>
          <t>City or county where local stormwater regulations must be met</t>
        </r>
      </text>
    </comment>
    <comment ref="F59" authorId="0" shapeId="0" xr:uid="{63AD183D-FA81-4698-BE4F-6FD848C61AEE}">
      <text>
        <r>
          <rPr>
            <sz val="9"/>
            <color indexed="81"/>
            <rFont val="Tahoma"/>
            <family val="2"/>
          </rPr>
          <t>Example: "Release rates at natural conditions for similar storm event or 5-yr existing condition, whichever is less."</t>
        </r>
      </text>
    </comment>
    <comment ref="E62" authorId="0" shapeId="0" xr:uid="{1D6938BC-A48E-4222-B241-954C9EFC9F6E}">
      <text>
        <r>
          <rPr>
            <sz val="9"/>
            <color indexed="81"/>
            <rFont val="Tahoma"/>
            <family val="2"/>
          </rPr>
          <t>Is the perimeter buffer met, yes or no?</t>
        </r>
      </text>
    </comment>
    <comment ref="E63" authorId="0" shapeId="0" xr:uid="{D0998F15-8A63-4266-85EB-EA1C81A705AA}">
      <text>
        <r>
          <rPr>
            <sz val="9"/>
            <color indexed="81"/>
            <rFont val="Tahoma"/>
            <family val="2"/>
          </rPr>
          <t>Fill in the distances, or mark "NA"</t>
        </r>
      </text>
    </comment>
    <comment ref="E67" authorId="0" shapeId="0" xr:uid="{D658E970-E0DD-4369-B920-32FB8E02E7E5}">
      <text>
        <r>
          <rPr>
            <sz val="9"/>
            <color indexed="81"/>
            <rFont val="Tahoma"/>
            <family val="2"/>
          </rPr>
          <t>Is the utility setback met,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1" authorId="0" shapeId="0" xr:uid="{504AF0BD-1C04-4EB8-A288-F2EB5AB05386}">
      <text>
        <r>
          <rPr>
            <sz val="9"/>
            <color indexed="81"/>
            <rFont val="Tahoma"/>
            <family val="2"/>
          </rPr>
          <t>These values pull automatically from the DE_1 and Step 4 spreadsheets.  It is recommended to complete these sheets.
In special circumstances, data can be entered manually at right.</t>
        </r>
      </text>
    </comment>
    <comment ref="D24" authorId="0" shapeId="0" xr:uid="{77E15F6A-711F-4F0B-B692-11ADC5370892}">
      <text>
        <r>
          <rPr>
            <sz val="9"/>
            <color indexed="81"/>
            <rFont val="Tahoma"/>
            <family val="2"/>
          </rPr>
          <t>These cells will pull data from Step 9 spreadsheet.  It is recommended to complete that sheet.
Data can be entered manually at right.</t>
        </r>
      </text>
    </comment>
    <comment ref="I24" authorId="0" shapeId="0" xr:uid="{B7429622-646D-4F27-AB71-6C99202AD751}">
      <text>
        <r>
          <rPr>
            <sz val="9"/>
            <color indexed="81"/>
            <rFont val="Tahoma"/>
            <family val="2"/>
          </rPr>
          <t>Will pull from Step 5-7 sheet or manually enter at right.</t>
        </r>
      </text>
    </comment>
    <comment ref="E29" authorId="0" shapeId="0" xr:uid="{C0985DFB-9C13-4E04-B7C1-9D8CBFF95C86}">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I10" authorId="0" shapeId="0" xr:uid="{21392C0C-FD46-4C8E-B24E-527B3028C0A8}">
      <text>
        <r>
          <rPr>
            <sz val="9"/>
            <color indexed="81"/>
            <rFont val="Tahoma"/>
            <family val="2"/>
          </rPr>
          <t>Background CN data used for different land uses and soil types.  Not to be edited.</t>
        </r>
      </text>
    </comment>
    <comment ref="D13" authorId="0" shapeId="0" xr:uid="{AE1C50B1-0115-4C05-922B-BD1D2594A37C}">
      <text>
        <r>
          <rPr>
            <sz val="9"/>
            <color indexed="81"/>
            <rFont val="Tahoma"/>
            <family val="2"/>
          </rPr>
          <t>Calculates when data above is filled</t>
        </r>
      </text>
    </comment>
    <comment ref="I16" authorId="0" shapeId="0" xr:uid="{CBB65ABA-B58D-49B1-9234-4F7068B1C8B5}">
      <text>
        <r>
          <rPr>
            <sz val="9"/>
            <color indexed="81"/>
            <rFont val="Tahoma"/>
            <family val="2"/>
          </rPr>
          <t>If a local jurisdiction sets limits on what CN is to be used for natural conditions, it may be entered here.</t>
        </r>
      </text>
    </comment>
    <comment ref="C24" authorId="0" shapeId="0" xr:uid="{A18AE49D-C023-4276-A7E7-1BFC4F673E1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xr:uid="{EC600F96-649C-4244-A41B-BB189535E83C}">
      <text>
        <r>
          <rPr>
            <sz val="9"/>
            <color indexed="81"/>
            <rFont val="Tahoma"/>
            <family val="2"/>
          </rPr>
          <t>Answer "Y" if "Other Areas" are to be treated as impervious for WQv calculations.</t>
        </r>
      </text>
    </comment>
    <comment ref="I26" authorId="0" shapeId="0" xr:uid="{5ACCA930-8671-4229-A527-9DC1E859A9CB}">
      <text>
        <r>
          <rPr>
            <sz val="9"/>
            <color indexed="81"/>
            <rFont val="Tahoma"/>
            <family val="2"/>
          </rPr>
          <t>If "Other Areas" land use is used, calculate the WQv of that area separately and enter it here.</t>
        </r>
      </text>
    </comment>
    <comment ref="D28" authorId="0" shapeId="0" xr:uid="{0CE676D5-AD0C-49FC-AA67-1A2FE3436102}">
      <text>
        <r>
          <rPr>
            <sz val="9"/>
            <color indexed="81"/>
            <rFont val="Tahoma"/>
            <family val="2"/>
          </rPr>
          <t>Calculates when data above is filled</t>
        </r>
      </text>
    </comment>
    <comment ref="C40" authorId="0" shapeId="0" xr:uid="{B4E33414-2206-4D67-BA1E-6A51D50BECC4}">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xr:uid="{89B5515C-C4E9-4D3A-8D4E-3794C751BE31}">
      <text>
        <r>
          <rPr>
            <sz val="9"/>
            <color indexed="81"/>
            <rFont val="Tahoma"/>
            <family val="2"/>
          </rPr>
          <t>Answer "Y" if "Other Areas" are to be treated as impervious for WQv calculations.</t>
        </r>
      </text>
    </comment>
    <comment ref="I42" authorId="0" shapeId="0" xr:uid="{9D9443EF-0055-440C-A0AF-6AD7160F2249}">
      <text>
        <r>
          <rPr>
            <sz val="9"/>
            <color indexed="81"/>
            <rFont val="Tahoma"/>
            <family val="2"/>
          </rPr>
          <t>If "Other Areas" land use is used, calculate the WQv of that area separately and enter it here.</t>
        </r>
      </text>
    </comment>
    <comment ref="D44" authorId="0" shapeId="0" xr:uid="{5B61A8AE-8CE8-4D0C-8AA8-7625167236D5}">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F7" authorId="0" shapeId="0" xr:uid="{B95EFC90-5CF7-48EE-9197-E162953CED6D}">
      <text>
        <r>
          <rPr>
            <sz val="9"/>
            <color indexed="81"/>
            <rFont val="Tahoma"/>
            <family val="2"/>
          </rPr>
          <t>These values automatically calculate if sheet DE_1 is completed.</t>
        </r>
      </text>
    </comment>
    <comment ref="G18" authorId="0" shapeId="0" xr:uid="{50514BA6-A172-463C-9922-16A3CA78307B}">
      <text>
        <r>
          <rPr>
            <sz val="9"/>
            <color indexed="81"/>
            <rFont val="Tahoma"/>
            <family val="2"/>
          </rPr>
          <t>Enter data from the WQv TR-55 model (remember to use adjusted CNs for this event)</t>
        </r>
      </text>
    </comment>
    <comment ref="B19" authorId="0" shapeId="0" xr:uid="{A289042E-7F2B-4050-A12B-E4DEA93B6C34}">
      <text>
        <r>
          <rPr>
            <sz val="9"/>
            <color indexed="81"/>
            <rFont val="Tahoma"/>
            <family val="2"/>
          </rPr>
          <t xml:space="preserve">Enter other data from TR-55 model for all other events (1-yr thru 100-yr).
</t>
        </r>
      </text>
    </comment>
    <comment ref="G19" authorId="0" shapeId="0" xr:uid="{6C631636-DC45-4D0F-9548-753EE71F7A87}">
      <text>
        <r>
          <rPr>
            <sz val="9"/>
            <color indexed="81"/>
            <rFont val="Tahoma"/>
            <family val="2"/>
          </rPr>
          <t>Values for developed rates and volumes are TR-55 model output for runoff that enters or falls within the detention basin.</t>
        </r>
      </text>
    </comment>
    <comment ref="B37" authorId="1" shapeId="0" xr:uid="{6144F567-4F22-44CA-BE78-C01CEA9B141D}">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7" authorId="0" shapeId="0" xr:uid="{77819505-698A-40D7-990E-C79554310608}">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7" authorId="1" shapeId="0" xr:uid="{81664934-B0FC-4A91-ABD1-A65EEAE33CB1}">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B7" authorId="0" shapeId="0" xr:uid="{27CABC90-CB2C-44F1-81FA-D418E9588CE7}">
      <text>
        <r>
          <rPr>
            <sz val="9"/>
            <color indexed="81"/>
            <rFont val="Tahoma"/>
            <family val="2"/>
          </rPr>
          <t>Cells will calculate based on data entered on sheet DE_1.</t>
        </r>
      </text>
    </comment>
    <comment ref="H7" authorId="0" shapeId="0" xr:uid="{FC853E4C-3F78-4FDE-A0B3-461253C59320}">
      <text>
        <r>
          <rPr>
            <sz val="9"/>
            <color indexed="81"/>
            <rFont val="Tahoma"/>
            <family val="2"/>
          </rPr>
          <t>Data may be entered manually here.</t>
        </r>
      </text>
    </comment>
    <comment ref="D9" authorId="0" shapeId="0" xr:uid="{48E7B61E-6CED-4856-AA9C-28D28BC93C19}">
      <text>
        <r>
          <rPr>
            <sz val="9"/>
            <color indexed="81"/>
            <rFont val="Tahoma"/>
            <family val="2"/>
          </rPr>
          <t>Example: "Vegetative buffer strip, etc."</t>
        </r>
      </text>
    </comment>
    <comment ref="B18" authorId="0" shapeId="0" xr:uid="{5315F026-00E4-4424-A707-3CC3830FCCA7}">
      <text>
        <r>
          <rPr>
            <sz val="9"/>
            <color indexed="81"/>
            <rFont val="Tahoma"/>
            <family val="2"/>
          </rPr>
          <t>Enter stage-area information for each forebay here…</t>
        </r>
      </text>
    </comment>
    <comment ref="B29" authorId="0" shapeId="0" xr:uid="{ED2CC6A0-3E0B-4515-A1F4-EE258169E362}">
      <text>
        <r>
          <rPr>
            <sz val="9"/>
            <color indexed="81"/>
            <rFont val="Tahoma"/>
            <family val="2"/>
          </rPr>
          <t>Enter stage-area information for each forebay here…</t>
        </r>
      </text>
    </comment>
    <comment ref="B40" authorId="0" shapeId="0" xr:uid="{1527ED4C-5FCF-41AA-BC74-DDFBF4218D37}">
      <text>
        <r>
          <rPr>
            <sz val="9"/>
            <color indexed="81"/>
            <rFont val="Tahoma"/>
            <family val="2"/>
          </rPr>
          <t>Enter stage-area information for each forebay here…</t>
        </r>
      </text>
    </comment>
    <comment ref="D47" authorId="0" shapeId="0" xr:uid="{BB875381-10F5-4935-9BAA-85B0908A6805}">
      <text>
        <r>
          <rPr>
            <sz val="9"/>
            <color indexed="81"/>
            <rFont val="Tahoma"/>
            <family val="2"/>
          </rPr>
          <t>Enter stage-storage data above to calculate this value</t>
        </r>
      </text>
    </comment>
    <comment ref="H47" authorId="0" shapeId="0" xr:uid="{2DDE57BF-8B29-4123-8220-56FF2E169A2B}">
      <text>
        <r>
          <rPr>
            <sz val="9"/>
            <color indexed="81"/>
            <rFont val="Tahoma"/>
            <family val="2"/>
          </rPr>
          <t>Data may be entered manually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A5" authorId="0" shapeId="0" xr:uid="{45B903CB-C3C9-4A2B-AD33-D3CF1E3319BB}">
      <text>
        <r>
          <rPr>
            <sz val="9"/>
            <color indexed="81"/>
            <rFont val="Tahoma"/>
            <family val="2"/>
          </rPr>
          <t>"MANUAL" will appear here if data is manually entered to override data taken from Step 3 and Step 4 spreadsheets.</t>
        </r>
      </text>
    </comment>
    <comment ref="G5" authorId="0" shapeId="0" xr:uid="{A08B07B3-6174-4FEA-9F99-C3740F0120E8}">
      <text>
        <r>
          <rPr>
            <sz val="9"/>
            <color indexed="81"/>
            <rFont val="Tahoma"/>
            <family val="2"/>
          </rPr>
          <t xml:space="preserve">Enter the lowest surface elevation within basin here.
</t>
        </r>
      </text>
    </comment>
    <comment ref="L5" authorId="0" shapeId="0" xr:uid="{B1D8E176-2708-4AB1-8787-BE8FA146C16B}">
      <text>
        <r>
          <rPr>
            <sz val="9"/>
            <color indexed="81"/>
            <rFont val="Tahoma"/>
            <family val="2"/>
          </rPr>
          <t>Data may be entered here manually, if data from Step 3 and Step 4 spreadsheet calculations is not to be used.</t>
        </r>
      </text>
    </comment>
    <comment ref="C14" authorId="0" shapeId="0" xr:uid="{53C8C5BD-C8D1-4661-AAE4-F11E818EB28E}">
      <text>
        <r>
          <rPr>
            <sz val="9"/>
            <color indexed="81"/>
            <rFont val="Tahoma"/>
            <family val="2"/>
          </rPr>
          <t>Enter contour area information derived from grading plan here.  Cells may be left blank as needed.</t>
        </r>
      </text>
    </comment>
    <comment ref="A15" authorId="0" shapeId="0" xr:uid="{CD2A230A-7B97-40E0-B9B9-7A61F8660F44}">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E13" authorId="0" shapeId="0" xr:uid="{289A3F52-7D89-488F-AD68-1C6F27387096}">
      <text>
        <r>
          <rPr>
            <sz val="9"/>
            <color indexed="81"/>
            <rFont val="Tahoma"/>
            <family val="2"/>
          </rPr>
          <t>This data can usually be obtained from routing output
Peak outflow rate (cfs), High water elevation (feet) and Maximum Storage Volume above Permanent Pool (feet)</t>
        </r>
      </text>
    </comment>
    <comment ref="E14" authorId="1" shapeId="0" xr:uid="{F9D9A300-6BFF-4338-816B-C619C50BFC12}">
      <text>
        <r>
          <rPr>
            <sz val="9"/>
            <color indexed="81"/>
            <rFont val="Tahoma"/>
            <family val="2"/>
          </rPr>
          <t>This data can usually be obtained from routing output
Peak outflow rate (cfs), High water elevation (feet) and Maximum Storage Volume (feet)</t>
        </r>
      </text>
    </comment>
    <comment ref="C27" authorId="0" shapeId="0" xr:uid="{69C229DE-B850-41FA-83C4-8EA75F59AB4D}">
      <text>
        <r>
          <rPr>
            <sz val="9"/>
            <color indexed="81"/>
            <rFont val="Tahoma"/>
            <family val="2"/>
          </rPr>
          <t>This is the difference (in minutes) between the peak of the inflow hydrograph to the wetland and the peak of the outflow hydrograph.  This can usually be determined from routing output.</t>
        </r>
      </text>
    </comment>
    <comment ref="C28" authorId="1" shapeId="0" xr:uid="{47C16A90-18DD-4698-A923-3B053148EE47}">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<sst xmlns="http://schemas.openxmlformats.org/spreadsheetml/2006/main" count="491" uniqueCount="294">
  <si>
    <t>Storage Calculation Sheets</t>
  </si>
  <si>
    <t>Elevation</t>
  </si>
  <si>
    <t>Contour Area</t>
  </si>
  <si>
    <t>Inc. Volume</t>
  </si>
  <si>
    <t>Cumulative Volume</t>
  </si>
  <si>
    <t>WQv Required</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</si>
  <si>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</si>
  <si>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</si>
  <si>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</si>
  <si>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</si>
  <si>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</si>
  <si>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</si>
  <si>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</si>
  <si>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</si>
  <si>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</si>
  <si>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</si>
  <si>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</si>
  <si>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</si>
  <si>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</si>
  <si>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</si>
  <si>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</si>
  <si>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</si>
  <si>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</si>
  <si>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</si>
  <si>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</si>
  <si>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</si>
  <si>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</si>
  <si>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</si>
  <si>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</si>
  <si>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</si>
  <si>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</si>
  <si>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</si>
  <si>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</si>
  <si>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</si>
  <si>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</si>
  <si>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</si>
  <si>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Pretreatment</t>
  </si>
  <si>
    <t>forebay</t>
  </si>
  <si>
    <t>vegetative buffer</t>
  </si>
  <si>
    <t>grass swale</t>
  </si>
  <si>
    <t>Multi-stage outlet</t>
  </si>
  <si>
    <t>Dam</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</si>
  <si>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</si>
  <si>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</si>
  <si>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</si>
  <si>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</si>
  <si>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</si>
  <si>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</si>
  <si>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</si>
  <si>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</si>
  <si>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</si>
  <si>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</si>
  <si>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</si>
  <si>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</si>
  <si>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</si>
  <si>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</si>
  <si>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</si>
  <si>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</si>
  <si>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</si>
  <si>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</si>
  <si>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</si>
  <si>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</si>
  <si>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</si>
  <si>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</si>
  <si>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</si>
  <si>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</si>
  <si>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</si>
  <si>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</si>
  <si>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</si>
  <si>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</si>
  <si>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</si>
  <si>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</si>
  <si>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</si>
  <si>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</si>
  <si>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</si>
  <si>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</si>
  <si>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</si>
  <si>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</si>
  <si>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</si>
  <si>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</si>
  <si>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</si>
  <si>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</si>
  <si>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</si>
  <si>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</si>
  <si>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</si>
  <si>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</si>
  <si>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</si>
  <si>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</si>
  <si>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</si>
  <si>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</si>
  <si>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</si>
  <si>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</si>
  <si>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</si>
  <si>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</si>
  <si>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</si>
  <si>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watershed-inches</t>
  </si>
  <si>
    <t>Applicant:</t>
  </si>
  <si>
    <t>Submitted by:</t>
  </si>
  <si>
    <t>Date:</t>
  </si>
  <si>
    <t>Location:</t>
  </si>
  <si>
    <t>csm/in</t>
  </si>
  <si>
    <t>qo/qi:</t>
  </si>
  <si>
    <t>qo:</t>
  </si>
  <si>
    <t>qo</t>
  </si>
  <si>
    <t>qi</t>
  </si>
  <si>
    <t>qo/qi</t>
  </si>
  <si>
    <t>Vs/Vr</t>
  </si>
  <si>
    <t>Vr</t>
  </si>
  <si>
    <t>Vs</t>
  </si>
  <si>
    <t>Vs *1.15</t>
  </si>
  <si>
    <t>Forebay #1 Storage</t>
  </si>
  <si>
    <t>Forebay #2 Storage</t>
  </si>
  <si>
    <t>Forebay #3 Storage</t>
  </si>
  <si>
    <t>Total Forebay Storage</t>
  </si>
  <si>
    <t>SF</t>
  </si>
  <si>
    <t>Pretreatment Calculations</t>
  </si>
  <si>
    <t>WQv Remaining</t>
  </si>
  <si>
    <t>Temporary Storage (Above Permanent Pool)</t>
  </si>
  <si>
    <t>Total Temporary Storage</t>
  </si>
  <si>
    <t>Allowed</t>
  </si>
  <si>
    <t>Out</t>
  </si>
  <si>
    <t>High Water Elevation</t>
  </si>
  <si>
    <t>(cfs)</t>
  </si>
  <si>
    <t>(feet)</t>
  </si>
  <si>
    <t>(CF)</t>
  </si>
  <si>
    <t>(watershed-inches)</t>
  </si>
  <si>
    <t>1-year (CPv)</t>
  </si>
  <si>
    <t>2-year</t>
  </si>
  <si>
    <t>5-year</t>
  </si>
  <si>
    <t>10-year</t>
  </si>
  <si>
    <t>25-year</t>
  </si>
  <si>
    <t>50-year</t>
  </si>
  <si>
    <t>100-year</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</si>
  <si>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</si>
  <si>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</si>
  <si>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</si>
  <si>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</si>
  <si>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</si>
  <si>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</si>
  <si>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</si>
  <si>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</si>
  <si>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</si>
  <si>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</si>
  <si>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</si>
  <si>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</si>
  <si>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</si>
  <si>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</si>
  <si>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</si>
  <si>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</si>
  <si>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</si>
  <si>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</si>
  <si>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</si>
  <si>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</si>
  <si>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</si>
  <si>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</si>
  <si>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</si>
  <si>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</si>
  <si>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(Page 1 -- Site Screening / Initial Planning)</t>
  </si>
  <si>
    <t>(Page 2 -- Design Summary)</t>
  </si>
  <si>
    <t>Unified Sizing Criteria</t>
  </si>
  <si>
    <t>Required:</t>
  </si>
  <si>
    <t>Provided:</t>
  </si>
  <si>
    <t>2-yr</t>
  </si>
  <si>
    <t>5-yr</t>
  </si>
  <si>
    <t>10-yr</t>
  </si>
  <si>
    <t>25-yr</t>
  </si>
  <si>
    <t>50-yr</t>
  </si>
  <si>
    <t>100-yr</t>
  </si>
  <si>
    <t>Allowed Release</t>
  </si>
  <si>
    <t>Predicted Outflow</t>
  </si>
  <si>
    <t>Criteria Met?</t>
  </si>
  <si>
    <t>Normal pool elevation</t>
  </si>
  <si>
    <t>Pretreatment Volume</t>
  </si>
  <si>
    <t>* Includes pre-treatment required volume (if requirements met)</t>
  </si>
  <si>
    <t>Ratio</t>
  </si>
  <si>
    <t>H:V slope</t>
  </si>
  <si>
    <t>acre-feet</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</si>
  <si>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</si>
  <si>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</si>
  <si>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</si>
  <si>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</si>
  <si>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</si>
  <si>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</si>
  <si>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</si>
  <si>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</si>
  <si>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</si>
  <si>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</si>
  <si>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</si>
  <si>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</si>
  <si>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</si>
  <si>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</si>
  <si>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</si>
  <si>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</si>
  <si>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</si>
  <si>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Hydrology Data Entry Sheet</t>
  </si>
  <si>
    <t>Pretreatment Data Entry Sheet</t>
  </si>
  <si>
    <t>Stage-Storage Data Entry Sheet</t>
  </si>
  <si>
    <t>Routing Results Data Entry Sheet</t>
  </si>
  <si>
    <t>Outfall protection calcs</t>
  </si>
  <si>
    <t>Describe local stormwater management requirements</t>
  </si>
  <si>
    <t>Above W.S.</t>
  </si>
  <si>
    <t>NA</t>
  </si>
  <si>
    <t>acre-feet***</t>
  </si>
  <si>
    <t>Manual Entry</t>
  </si>
  <si>
    <t>(mark all that apply with X)</t>
  </si>
  <si>
    <t>Local review jurisdiction</t>
  </si>
  <si>
    <t>Tributary Area (acres)</t>
  </si>
  <si>
    <t>WQv Required (CF)</t>
  </si>
  <si>
    <t>Pretreatment Required (CF)</t>
  </si>
  <si>
    <t>CPv elevation</t>
  </si>
  <si>
    <t>10-year elevation</t>
  </si>
  <si>
    <t>100-year elevation</t>
  </si>
  <si>
    <t>WQv Required for Other Areas (CF)</t>
  </si>
  <si>
    <t>Allowable Release</t>
  </si>
  <si>
    <t>WQv required</t>
  </si>
  <si>
    <t>Pretreatment required</t>
  </si>
  <si>
    <t>Final Storage Routing Result</t>
  </si>
  <si>
    <t>Open Space (w/&gt;=4" SQR, &lt;8")</t>
  </si>
  <si>
    <t>Open Space (w/&gt;=8" SQR)</t>
  </si>
  <si>
    <t>Forebay Pool Elevation=</t>
  </si>
  <si>
    <t>Depth Below Pool</t>
  </si>
  <si>
    <t>Forebay Storage</t>
  </si>
  <si>
    <t>***Excludes forebays</t>
  </si>
  <si>
    <t>Natural Condition Watershed Area</t>
  </si>
  <si>
    <t>Adjusted CN (for WQv event modeling):</t>
  </si>
  <si>
    <t>* Do not include any impervious areas that are included as "Other Areas" (e.g. green roofs, etc.)</t>
  </si>
  <si>
    <t>Extended Detention Metrics:</t>
  </si>
  <si>
    <t>qu:</t>
  </si>
  <si>
    <t>CPv</t>
  </si>
  <si>
    <t>Open space / Row Crop CNs</t>
  </si>
  <si>
    <t>Natural</t>
  </si>
  <si>
    <t>EXAMPLE OF FIGURE FROM SMALL STORM HYDROLOGY SECTION TO BE USED TO DETERMINE (qo/qi)</t>
  </si>
  <si>
    <t>(From ISWMM Small Storm Hydrology Figure)</t>
  </si>
  <si>
    <t>Incremental Volume</t>
  </si>
  <si>
    <t>CL_1 - Screening / Planning</t>
  </si>
  <si>
    <t>Page 1</t>
  </si>
  <si>
    <t>CL_2 - Design Summary</t>
  </si>
  <si>
    <t>Page 2</t>
  </si>
  <si>
    <t>DE_1 - Watershed Information</t>
  </si>
  <si>
    <t>Page 3</t>
  </si>
  <si>
    <t>Step 3 - Hydrology</t>
  </si>
  <si>
    <t>Page 4</t>
  </si>
  <si>
    <t>Step 4 - Pretreatment</t>
  </si>
  <si>
    <t>Page 5</t>
  </si>
  <si>
    <t>Step 5 to 7 - Final Storage Volumes</t>
  </si>
  <si>
    <t>Page 6</t>
  </si>
  <si>
    <t>Step 9 - Results</t>
  </si>
  <si>
    <t>Page 7</t>
  </si>
  <si>
    <t>CN for modeling natural conditions:</t>
  </si>
  <si>
    <t>Natural Condition CN</t>
  </si>
  <si>
    <t>Red arrows show an example of how to use this chart: For qu = 780 csm/in, qo/qi = 0.025.</t>
  </si>
  <si>
    <t>HSG of Soils at Detention Pond Site:</t>
  </si>
  <si>
    <t>Initial Planning - Wet Detention Pond Elements</t>
  </si>
  <si>
    <t>Dam Crest Elevation</t>
  </si>
  <si>
    <t>Auxiliary Spillway Crest Elevation</t>
  </si>
  <si>
    <t>Height of dam (measured on downstream face)</t>
  </si>
  <si>
    <t>Maintenance path</t>
  </si>
  <si>
    <t>Maximum surface slope (overall)</t>
  </si>
  <si>
    <t>Maximum width of pond</t>
  </si>
  <si>
    <t>Model Output (Flow to Pond Location)</t>
  </si>
  <si>
    <t>Wet Detention Pond Performance Table</t>
  </si>
  <si>
    <t>Wet Detention Pond Metrics Table</t>
  </si>
  <si>
    <t>Design Review Checklist for Dry or Dry ED Detention Ponds</t>
  </si>
  <si>
    <t>Iowa Dry or Dry ED Detention Basin Review Checklist</t>
  </si>
  <si>
    <t>Is Extended Detention (ED) being used to meet CPv requirements?</t>
  </si>
  <si>
    <t>WQv treated by other BMPs</t>
  </si>
  <si>
    <t>Dry / Dry ED Detention Basin Metrics</t>
  </si>
  <si>
    <t>Dry / Dry ED Detention Basin Topography</t>
  </si>
  <si>
    <t>Lowest Surface Elevation within Basin</t>
  </si>
  <si>
    <t>Auxiliary spillway</t>
  </si>
  <si>
    <t>Lowest basin elevation</t>
  </si>
  <si>
    <t>Pilot channel</t>
  </si>
  <si>
    <t>Minimum slope within basin footprint</t>
  </si>
  <si>
    <t>Maximum slope below 1-year (CPv) high water elevation</t>
  </si>
  <si>
    <t>Permanent vegetation</t>
  </si>
  <si>
    <t>&lt; native</t>
  </si>
  <si>
    <t>&lt; turf</t>
  </si>
  <si>
    <t>&lt; mixture</t>
  </si>
  <si>
    <t>Predicted high water elev above bottom of basin (ft)</t>
  </si>
  <si>
    <t>Max. Temp. Storage</t>
  </si>
  <si>
    <t>Approximate Pond to Watershed Ratio***</t>
  </si>
  <si>
    <t>***based on highest area listed in Temporary Storage stage-storage data tables</t>
  </si>
  <si>
    <t>**</t>
  </si>
  <si>
    <t>**note there are exceptions to these requirements for alternatives listed in Section 9.10-1.G.</t>
  </si>
  <si>
    <t>Iowa Department of Agriculture and Land Stewardship (IDALS) - Issue date: August 3, 2020</t>
  </si>
  <si>
    <t>IDALS: Issue Date: 08/03/2020</t>
  </si>
  <si>
    <t>Maximum flow length through pond</t>
  </si>
  <si>
    <t>Provide project information above and in blank fields below</t>
  </si>
  <si>
    <r>
      <rPr>
        <b/>
        <sz val="9"/>
        <color rgb="FFFF0000"/>
        <rFont val="Calibri"/>
        <family val="2"/>
      </rPr>
      <t>Red Text = Area in acres</t>
    </r>
    <r>
      <rPr>
        <b/>
        <sz val="9"/>
        <color theme="1"/>
        <rFont val="Calibri"/>
        <family val="2"/>
      </rPr>
      <t xml:space="preserve">, </t>
    </r>
    <r>
      <rPr>
        <b/>
        <sz val="9"/>
        <color theme="9" tint="-0.249977111117893"/>
        <rFont val="Calibri"/>
        <family val="2"/>
      </rPr>
      <t>Green Text = CN</t>
    </r>
    <r>
      <rPr>
        <b/>
        <sz val="9"/>
        <color theme="1"/>
        <rFont val="Calibri"/>
        <family val="2"/>
      </rPr>
      <t xml:space="preserve">, </t>
    </r>
    <r>
      <rPr>
        <b/>
        <sz val="9"/>
        <color rgb="FF0070C0"/>
        <rFont val="Calibri"/>
        <family val="2"/>
      </rPr>
      <t>Blue Text = Y or N</t>
    </r>
  </si>
  <si>
    <t>Enter Data in Fields</t>
  </si>
  <si>
    <t>Provide information in blank fields below (other information populates from data entry sheets)</t>
  </si>
  <si>
    <t>Enter values in cells from model data input / output</t>
  </si>
  <si>
    <t>Enter values related to stage-storage information</t>
  </si>
  <si>
    <t>Enter values from TR-55 routing 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</si>
</sst>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
    <numFmt numFmtId="168" formatCode="_(* #,##0_);_(* \(#,##0\);_(* &quot;-&quot;??_);_(@_)"/>
  </numFmts>
  <fonts count="34" x14ac:knownFonts="1">
    <font>
      <sz val="11"/>
      <color theme="1"/>
      <name val="Arial Narrow"/>
      <family val="2"/>
      <scheme val="minor"/>
    </font>
    <font>
      <sz val="11"/>
      <color theme="1"/>
      <name val="Arial Narrow"/>
      <family val="2"/>
      <scheme val="minor"/>
    </font>
    <font>
      <sz val="9"/>
      <color indexed="81"/>
      <name val="Tahoma"/>
      <family val="2"/>
    </font>
    <font>
      <b/>
      <u/>
      <sz val="10"/>
      <color theme="1"/>
      <name val="Calibri"/>
      <family val="2"/>
    </font>
    <font>
      <b/>
      <sz val="10"/>
      <color theme="1"/>
      <name val="Calibri"/>
      <family val="2"/>
    </font>
    <font>
      <sz val="9"/>
      <color theme="1"/>
      <name val="Calibri"/>
      <family val="2"/>
    </font>
    <font>
      <b/>
      <sz val="9"/>
      <color theme="1"/>
      <name val="Calibri"/>
      <family val="2"/>
    </font>
    <font>
      <sz val="11"/>
      <color theme="1"/>
      <name val="Calibri"/>
      <family val="2"/>
    </font>
    <font>
      <b/>
      <u/>
      <sz val="9"/>
      <color rgb="FFFF0000"/>
      <name val="Calibri"/>
      <family val="2"/>
    </font>
    <font>
      <sz val="9"/>
      <color theme="8" tint="-0.249977111117893"/>
      <name val="Calibri"/>
      <family val="2"/>
    </font>
    <font>
      <b/>
      <u/>
      <sz val="9"/>
      <color rgb="FFC00000"/>
      <name val="Calibri"/>
      <family val="2"/>
    </font>
    <font>
      <sz val="10"/>
      <color theme="1"/>
      <name val="Calibri"/>
      <family val="2"/>
    </font>
    <font>
      <i/>
      <sz val="8"/>
      <color theme="1"/>
      <name val="Calibri"/>
      <family val="2"/>
    </font>
    <font>
      <sz val="8"/>
      <color theme="1"/>
      <name val="Calibri"/>
      <family val="2"/>
    </font>
    <font>
      <b/>
      <sz val="10"/>
      <color rgb="FFFF0000"/>
      <name val="Calibri"/>
      <family val="2"/>
    </font>
    <font>
      <b/>
      <sz val="9"/>
      <color rgb="FFFF0000"/>
      <name val="Calibri"/>
      <family val="2"/>
    </font>
    <font>
      <i/>
      <sz val="7"/>
      <color theme="1"/>
      <name val="Calibri"/>
      <family val="2"/>
    </font>
    <font>
      <sz val="8"/>
      <color rgb="FFC00000"/>
      <name val="Calibri"/>
      <family val="2"/>
    </font>
    <font>
      <b/>
      <u/>
      <sz val="9"/>
      <color theme="1"/>
      <name val="Calibri"/>
      <family val="2"/>
    </font>
    <font>
      <b/>
      <sz val="9"/>
      <color theme="9" tint="-0.249977111117893"/>
      <name val="Calibri"/>
      <family val="2"/>
    </font>
    <font>
      <b/>
      <sz val="9"/>
      <color rgb="FF0070C0"/>
      <name val="Calibri"/>
      <family val="2"/>
    </font>
    <font>
      <sz val="9"/>
      <color rgb="FFFF0000"/>
      <name val="Calibri"/>
      <family val="2"/>
    </font>
    <font>
      <sz val="9"/>
      <color theme="9" tint="-0.249977111117893"/>
      <name val="Calibri"/>
      <family val="2"/>
    </font>
    <font>
      <sz val="9"/>
      <color rgb="FF0070C0"/>
      <name val="Calibri"/>
      <family val="2"/>
    </font>
    <font>
      <b/>
      <i/>
      <sz val="10"/>
      <color theme="1"/>
      <name val="Calibri"/>
      <family val="2"/>
    </font>
    <font>
      <sz val="10"/>
      <color theme="0"/>
      <name val="Calibri"/>
      <family val="2"/>
    </font>
    <font>
      <b/>
      <u/>
      <sz val="10"/>
      <color theme="0"/>
      <name val="Calibri"/>
      <family val="2"/>
    </font>
    <font>
      <sz val="10"/>
      <name val="Calibri"/>
      <family val="2"/>
    </font>
    <font>
      <sz val="10"/>
      <color rgb="FFC00000"/>
      <name val="Calibri"/>
      <family val="2"/>
    </font>
    <font>
      <b/>
      <sz val="11"/>
      <color theme="1"/>
      <name val="Calibri"/>
      <family val="2"/>
    </font>
    <font>
      <sz val="11"/>
      <color theme="4"/>
      <name val="Calibri"/>
      <family val="2"/>
    </font>
    <font>
      <b/>
      <i/>
      <sz val="9"/>
      <color theme="1"/>
      <name val="Calibri"/>
      <family val="2"/>
    </font>
    <font>
      <sz val="9"/>
      <color theme="0" tint="-0.34998626667073579"/>
      <name val="Calibri"/>
      <family val="2"/>
    </font>
    <font>
      <i/>
      <sz val="9"/>
      <color theme="1"/>
      <name val="Calibri"/>
      <family val="2"/>
    </font>
  </fonts>
  <fills count="2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darkUp">
        <fgColor theme="5" tint="0.79998168889431442"/>
        <bgColor auto="1"/>
      </patternFill>
    </fill>
    <fill>
      <patternFill patternType="darkUp">
        <fgColor theme="8" tint="0.79998168889431442"/>
        <bgColor auto="1"/>
      </patternFill>
    </fill>
  </fills>
  <borders count="1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3" fillId="0" borderId="0" xfId="0" applyFont="1"/>
    <xf numFmtId="0" fontId="5" fillId="0" borderId="0" xfId="0" applyFont="1" applyFill="1" applyAlignment="1">
      <alignment horizontal="right"/>
    </xf>
    <xf numFmtId="0" fontId="6" fillId="0" borderId="0" xfId="0" applyFont="1" applyFill="1" applyAlignment="1">
      <alignment horizontal="right"/>
    </xf>
    <xf numFmtId="0" fontId="5" fillId="0" borderId="0" xfId="0" applyFont="1" applyFill="1" applyAlignment="1"/>
    <xf numFmtId="0" fontId="5" fillId="0" borderId="0" xfId="0" applyFont="1" applyAlignment="1">
      <alignment horizontal="right"/>
    </xf>
    <xf numFmtId="0" fontId="5" fillId="0" borderId="0" xfId="0" applyFont="1" applyFill="1" applyAlignment="1">
      <alignment horizontal="left"/>
    </xf>
    <xf numFmtId="0" fontId="6" fillId="0" borderId="0" xfId="0" applyFont="1" applyFill="1" applyAlignment="1"/>
    <xf numFmtId="14" fontId="5" fillId="0" borderId="0" xfId="0" applyNumberFormat="1" applyFont="1" applyFill="1" applyAlignment="1"/>
    <xf numFmtId="0" fontId="5" fillId="0" borderId="0" xfId="0" applyFont="1" applyFill="1"/>
    <xf numFmtId="0" fontId="5" fillId="0" borderId="0" xfId="0" applyFont="1"/>
    <xf numFmtId="0" fontId="6"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16" fontId="5" fillId="0" borderId="0" xfId="0" applyNumberFormat="1" applyFont="1" applyFill="1" applyAlignment="1">
      <alignment horizontal="center"/>
    </xf>
    <xf numFmtId="0" fontId="5" fillId="0" borderId="0" xfId="0" applyFont="1" applyFill="1" applyAlignment="1">
      <alignment vertical="top"/>
    </xf>
    <xf numFmtId="0" fontId="5" fillId="0" borderId="0" xfId="0" applyFont="1" applyFill="1" applyAlignment="1">
      <alignment vertical="top" wrapText="1"/>
    </xf>
    <xf numFmtId="0" fontId="5" fillId="2" borderId="0" xfId="0" applyFont="1" applyFill="1" applyAlignment="1"/>
    <xf numFmtId="0" fontId="3" fillId="0" borderId="0" xfId="0" applyFont="1" applyProtection="1"/>
    <xf numFmtId="0" fontId="3" fillId="0" borderId="0" xfId="0" applyFont="1" applyAlignment="1" applyProtection="1">
      <alignment horizontal="center"/>
    </xf>
    <xf numFmtId="0" fontId="5" fillId="0" borderId="0" xfId="0" applyFont="1" applyAlignment="1" applyProtection="1">
      <alignment horizontal="right"/>
    </xf>
    <xf numFmtId="0" fontId="6" fillId="0" borderId="0" xfId="0" applyFont="1" applyAlignment="1" applyProtection="1">
      <alignment horizontal="right"/>
    </xf>
    <xf numFmtId="0" fontId="5" fillId="0" borderId="0" xfId="0" applyFont="1" applyAlignment="1" applyProtection="1">
      <alignment horizontal="center"/>
    </xf>
    <xf numFmtId="0" fontId="5" fillId="0" borderId="0" xfId="0" applyFont="1" applyFill="1" applyAlignment="1" applyProtection="1">
      <alignment horizontal="right"/>
    </xf>
    <xf numFmtId="0" fontId="6" fillId="0" borderId="0" xfId="0" applyFont="1" applyFill="1" applyAlignment="1" applyProtection="1">
      <alignment horizontal="right"/>
    </xf>
    <xf numFmtId="0" fontId="5" fillId="0" borderId="0" xfId="0" applyFont="1" applyFill="1" applyAlignment="1" applyProtection="1">
      <alignment horizontal="left"/>
    </xf>
    <xf numFmtId="0" fontId="5" fillId="0" borderId="0" xfId="0" applyFont="1" applyFill="1" applyAlignment="1" applyProtection="1">
      <alignment horizontal="center"/>
    </xf>
    <xf numFmtId="0" fontId="5" fillId="0" borderId="0" xfId="0" applyFont="1" applyProtection="1"/>
    <xf numFmtId="0" fontId="5" fillId="0" borderId="0" xfId="0" applyFont="1" applyFill="1" applyProtection="1"/>
    <xf numFmtId="0" fontId="6" fillId="4" borderId="0" xfId="0" applyFont="1" applyFill="1" applyProtection="1"/>
    <xf numFmtId="0" fontId="5" fillId="4" borderId="0" xfId="0" applyFont="1" applyFill="1" applyProtection="1"/>
    <xf numFmtId="0" fontId="5" fillId="3" borderId="0" xfId="0" applyFont="1" applyFill="1" applyAlignment="1" applyProtection="1">
      <alignment horizontal="center"/>
      <protection locked="0"/>
    </xf>
    <xf numFmtId="0" fontId="5" fillId="0" borderId="0" xfId="0" applyFont="1" applyAlignment="1" applyProtection="1">
      <alignment vertical="center"/>
    </xf>
    <xf numFmtId="0" fontId="5" fillId="0" borderId="2" xfId="0" applyFont="1" applyBorder="1" applyAlignment="1" applyProtection="1">
      <alignment horizontal="center"/>
    </xf>
    <xf numFmtId="0" fontId="9" fillId="0" borderId="0" xfId="0" applyFont="1" applyAlignment="1" applyProtection="1">
      <alignment horizontal="center"/>
    </xf>
    <xf numFmtId="0" fontId="5" fillId="0" borderId="2" xfId="0" applyFont="1" applyBorder="1" applyAlignment="1" applyProtection="1">
      <alignment horizontal="center"/>
      <protection locked="0"/>
    </xf>
    <xf numFmtId="49" fontId="5" fillId="3" borderId="0" xfId="0" applyNumberFormat="1" applyFont="1" applyFill="1" applyAlignment="1" applyProtection="1">
      <alignment horizontal="center"/>
      <protection locked="0"/>
    </xf>
    <xf numFmtId="0" fontId="6" fillId="5" borderId="0" xfId="0" applyFont="1" applyFill="1" applyProtection="1"/>
    <xf numFmtId="0" fontId="5" fillId="5" borderId="0" xfId="0" applyFont="1" applyFill="1" applyProtection="1"/>
    <xf numFmtId="0" fontId="5" fillId="2" borderId="0" xfId="0" applyFont="1" applyFill="1" applyAlignment="1" applyProtection="1">
      <alignment horizontal="center"/>
      <protection locked="0"/>
    </xf>
    <xf numFmtId="0" fontId="5" fillId="2" borderId="0" xfId="0" applyFont="1" applyFill="1" applyAlignment="1" applyProtection="1"/>
    <xf numFmtId="0" fontId="7" fillId="0" borderId="13" xfId="0" applyFont="1" applyBorder="1" applyProtection="1"/>
    <xf numFmtId="0" fontId="7" fillId="0" borderId="0" xfId="0" applyFont="1" applyProtection="1"/>
    <xf numFmtId="0" fontId="7" fillId="0" borderId="0" xfId="0" applyFont="1" applyAlignment="1" applyProtection="1">
      <alignment horizontal="right"/>
    </xf>
    <xf numFmtId="14" fontId="5" fillId="0" borderId="0" xfId="0" applyNumberFormat="1" applyFont="1" applyFill="1" applyAlignment="1" applyProtection="1">
      <alignment horizontal="left"/>
    </xf>
    <xf numFmtId="0" fontId="6" fillId="10" borderId="0" xfId="0" applyFont="1" applyFill="1" applyAlignment="1" applyProtection="1"/>
    <xf numFmtId="0" fontId="5" fillId="0" borderId="0" xfId="0" applyFont="1" applyFill="1" applyAlignment="1" applyProtection="1"/>
    <xf numFmtId="0" fontId="6" fillId="4" borderId="0" xfId="0" applyFont="1" applyFill="1" applyAlignment="1" applyProtection="1"/>
    <xf numFmtId="0" fontId="5" fillId="4" borderId="0" xfId="0" applyFont="1" applyFill="1" applyAlignment="1" applyProtection="1"/>
    <xf numFmtId="0" fontId="5" fillId="0" borderId="2" xfId="0" applyFont="1" applyBorder="1" applyProtection="1"/>
    <xf numFmtId="0" fontId="5" fillId="0" borderId="9" xfId="0" applyFont="1" applyBorder="1" applyProtection="1"/>
    <xf numFmtId="0" fontId="6" fillId="0" borderId="0" xfId="0" applyFont="1" applyFill="1" applyAlignment="1" applyProtection="1"/>
    <xf numFmtId="3" fontId="5" fillId="0" borderId="0" xfId="0" applyNumberFormat="1" applyFont="1" applyFill="1" applyAlignment="1" applyProtection="1"/>
    <xf numFmtId="0" fontId="11" fillId="0" borderId="0" xfId="0" applyFont="1" applyAlignment="1" applyProtection="1">
      <alignment horizontal="center"/>
    </xf>
    <xf numFmtId="168" fontId="5" fillId="0" borderId="10" xfId="2" applyNumberFormat="1" applyFont="1" applyBorder="1" applyProtection="1">
      <protection locked="0"/>
    </xf>
    <xf numFmtId="0" fontId="5" fillId="0" borderId="4" xfId="0" applyFont="1" applyBorder="1" applyProtection="1"/>
    <xf numFmtId="168" fontId="5" fillId="0" borderId="11" xfId="2" applyNumberFormat="1" applyFont="1" applyBorder="1" applyProtection="1">
      <protection locked="0"/>
    </xf>
    <xf numFmtId="0" fontId="5" fillId="0" borderId="6" xfId="0" applyFont="1" applyBorder="1" applyProtection="1"/>
    <xf numFmtId="0" fontId="12" fillId="0" borderId="0" xfId="0" applyFont="1" applyFill="1" applyAlignment="1" applyProtection="1"/>
    <xf numFmtId="0" fontId="13" fillId="0" borderId="0" xfId="0" applyFont="1" applyFill="1" applyAlignment="1" applyProtection="1"/>
    <xf numFmtId="3" fontId="13" fillId="0" borderId="0" xfId="0" applyNumberFormat="1" applyFont="1" applyFill="1" applyAlignment="1" applyProtection="1"/>
    <xf numFmtId="0" fontId="13" fillId="0" borderId="0" xfId="0" applyFont="1" applyProtection="1"/>
    <xf numFmtId="0" fontId="13" fillId="0" borderId="0" xfId="0" applyFont="1" applyAlignment="1" applyProtection="1">
      <alignment horizontal="center"/>
    </xf>
    <xf numFmtId="3" fontId="5" fillId="3" borderId="0" xfId="0" applyNumberFormat="1" applyFont="1" applyFill="1" applyAlignment="1" applyProtection="1">
      <alignment horizontal="center"/>
      <protection locked="0"/>
    </xf>
    <xf numFmtId="0" fontId="14" fillId="0" borderId="0" xfId="0" applyFont="1" applyAlignment="1" applyProtection="1">
      <alignment horizontal="center"/>
    </xf>
    <xf numFmtId="3" fontId="5" fillId="22" borderId="0" xfId="0" applyNumberFormat="1" applyFont="1" applyFill="1" applyAlignment="1" applyProtection="1">
      <alignment horizontal="center"/>
      <protection locked="0"/>
    </xf>
    <xf numFmtId="0" fontId="6" fillId="0" borderId="1" xfId="0" applyFont="1" applyFill="1" applyBorder="1" applyAlignment="1" applyProtection="1"/>
    <xf numFmtId="0" fontId="6" fillId="0" borderId="1" xfId="0" applyFont="1" applyFill="1" applyBorder="1" applyAlignment="1" applyProtection="1">
      <alignment horizontal="center"/>
    </xf>
    <xf numFmtId="166" fontId="5" fillId="0" borderId="0" xfId="0" applyNumberFormat="1" applyFont="1" applyFill="1" applyAlignment="1" applyProtection="1">
      <alignment horizontal="center"/>
    </xf>
    <xf numFmtId="0" fontId="5" fillId="0" borderId="1" xfId="0" applyFont="1" applyFill="1" applyBorder="1" applyAlignment="1" applyProtection="1"/>
    <xf numFmtId="0" fontId="5" fillId="0" borderId="1" xfId="0" applyFont="1" applyBorder="1" applyProtection="1"/>
    <xf numFmtId="0" fontId="15" fillId="0" borderId="1" xfId="0" quotePrefix="1" applyFont="1" applyBorder="1" applyAlignment="1" applyProtection="1">
      <alignment horizontal="right"/>
    </xf>
    <xf numFmtId="2" fontId="6" fillId="0" borderId="1" xfId="0" applyNumberFormat="1" applyFont="1" applyFill="1" applyBorder="1" applyAlignment="1" applyProtection="1">
      <alignment horizontal="center"/>
    </xf>
    <xf numFmtId="39" fontId="5" fillId="0" borderId="0" xfId="0" applyNumberFormat="1" applyFont="1" applyFill="1" applyAlignment="1" applyProtection="1">
      <alignment horizontal="center"/>
    </xf>
    <xf numFmtId="2" fontId="5" fillId="0" borderId="0" xfId="0" applyNumberFormat="1" applyFont="1" applyFill="1" applyAlignment="1" applyProtection="1">
      <alignment horizontal="center"/>
    </xf>
    <xf numFmtId="43" fontId="5" fillId="0" borderId="2" xfId="2" applyNumberFormat="1" applyFont="1" applyBorder="1" applyProtection="1">
      <protection locked="0"/>
    </xf>
    <xf numFmtId="0" fontId="6" fillId="5" borderId="0" xfId="0" applyFont="1" applyFill="1" applyAlignment="1" applyProtection="1"/>
    <xf numFmtId="0" fontId="5" fillId="5" borderId="0" xfId="0" applyFont="1" applyFill="1" applyAlignment="1" applyProtection="1"/>
    <xf numFmtId="164" fontId="5" fillId="0" borderId="0" xfId="1" applyNumberFormat="1" applyFont="1" applyFill="1" applyAlignment="1" applyProtection="1">
      <alignment horizontal="center"/>
    </xf>
    <xf numFmtId="166" fontId="5" fillId="0" borderId="0" xfId="0" applyNumberFormat="1" applyFont="1" applyAlignment="1" applyProtection="1">
      <alignment horizontal="center"/>
    </xf>
    <xf numFmtId="164" fontId="5" fillId="0" borderId="0" xfId="1" applyNumberFormat="1" applyFont="1" applyAlignment="1" applyProtection="1">
      <alignment horizontal="center"/>
    </xf>
    <xf numFmtId="0" fontId="6" fillId="15" borderId="0" xfId="0" applyFont="1" applyFill="1" applyAlignment="1" applyProtection="1"/>
    <xf numFmtId="0" fontId="5" fillId="9" borderId="0" xfId="0" applyFont="1" applyFill="1" applyAlignment="1" applyProtection="1">
      <alignment horizontal="center"/>
      <protection locked="0"/>
    </xf>
    <xf numFmtId="0" fontId="17" fillId="0" borderId="0" xfId="0" applyFont="1" applyFill="1" applyAlignment="1" applyProtection="1">
      <alignment horizontal="center"/>
    </xf>
    <xf numFmtId="0" fontId="6" fillId="8" borderId="0" xfId="0" applyFont="1" applyFill="1" applyAlignment="1" applyProtection="1"/>
    <xf numFmtId="0" fontId="6" fillId="0" borderId="0" xfId="0" applyFont="1" applyAlignment="1" applyProtection="1">
      <alignment horizontal="center" wrapText="1"/>
    </xf>
    <xf numFmtId="0" fontId="5" fillId="10" borderId="0" xfId="0" applyFont="1" applyFill="1" applyAlignment="1" applyProtection="1">
      <alignment horizontal="center"/>
      <protection locked="0"/>
    </xf>
    <xf numFmtId="14" fontId="5" fillId="0" borderId="0" xfId="0" applyNumberFormat="1" applyFont="1" applyAlignment="1" applyProtection="1">
      <alignment horizontal="left"/>
    </xf>
    <xf numFmtId="0" fontId="18" fillId="0" borderId="0" xfId="0" applyFont="1" applyProtection="1"/>
    <xf numFmtId="0" fontId="6" fillId="0" borderId="0" xfId="0" applyFont="1" applyFill="1" applyProtection="1"/>
    <xf numFmtId="0" fontId="6" fillId="12" borderId="0" xfId="0" applyFont="1" applyFill="1" applyProtection="1"/>
    <xf numFmtId="0" fontId="5" fillId="12" borderId="0" xfId="0" applyFont="1" applyFill="1" applyProtection="1"/>
    <xf numFmtId="0" fontId="6" fillId="0" borderId="1" xfId="0" applyFont="1" applyBorder="1" applyProtection="1"/>
    <xf numFmtId="0" fontId="6" fillId="0" borderId="1" xfId="0" applyFont="1" applyBorder="1" applyAlignment="1" applyProtection="1">
      <alignment horizontal="center"/>
    </xf>
    <xf numFmtId="0" fontId="21" fillId="7" borderId="0" xfId="0" applyFont="1" applyFill="1" applyAlignment="1" applyProtection="1">
      <alignment horizontal="center"/>
      <protection locked="0"/>
    </xf>
    <xf numFmtId="0" fontId="5" fillId="11" borderId="0" xfId="0" applyFont="1" applyFill="1" applyAlignment="1" applyProtection="1">
      <alignment horizontal="center"/>
    </xf>
    <xf numFmtId="165" fontId="5" fillId="0" borderId="0" xfId="0" applyNumberFormat="1" applyFont="1" applyBorder="1" applyAlignment="1" applyProtection="1">
      <alignment horizontal="right"/>
    </xf>
    <xf numFmtId="3" fontId="5" fillId="0" borderId="0" xfId="0" applyNumberFormat="1" applyFont="1" applyBorder="1" applyAlignment="1" applyProtection="1">
      <alignment horizontal="right"/>
    </xf>
    <xf numFmtId="0" fontId="5" fillId="0" borderId="7" xfId="0" applyFont="1" applyBorder="1" applyProtection="1"/>
    <xf numFmtId="0" fontId="5" fillId="0" borderId="8" xfId="0" applyFont="1" applyBorder="1" applyProtection="1"/>
    <xf numFmtId="168" fontId="5" fillId="0" borderId="7" xfId="2" applyNumberFormat="1" applyFont="1" applyBorder="1" applyProtection="1">
      <protection locked="0"/>
    </xf>
    <xf numFmtId="0" fontId="6" fillId="14" borderId="0" xfId="0" applyFont="1" applyFill="1" applyProtection="1"/>
    <xf numFmtId="0" fontId="5" fillId="14" borderId="0" xfId="0" applyFont="1" applyFill="1" applyProtection="1"/>
    <xf numFmtId="0" fontId="22" fillId="7" borderId="0" xfId="0" applyFont="1" applyFill="1" applyAlignment="1" applyProtection="1">
      <alignment horizontal="center"/>
      <protection locked="0"/>
    </xf>
    <xf numFmtId="0" fontId="23" fillId="7" borderId="0" xfId="0" applyFont="1" applyFill="1" applyAlignment="1" applyProtection="1">
      <alignment horizontal="center"/>
      <protection locked="0"/>
    </xf>
    <xf numFmtId="0" fontId="5" fillId="2" borderId="0" xfId="0" applyFont="1" applyFill="1" applyAlignment="1" applyProtection="1">
      <alignment horizontal="center"/>
    </xf>
    <xf numFmtId="165" fontId="5" fillId="2" borderId="0" xfId="0" applyNumberFormat="1" applyFont="1" applyFill="1" applyBorder="1" applyAlignment="1" applyProtection="1">
      <alignment horizontal="center"/>
    </xf>
    <xf numFmtId="164" fontId="5" fillId="2" borderId="0" xfId="1" applyNumberFormat="1" applyFont="1" applyFill="1" applyAlignment="1" applyProtection="1">
      <alignment horizontal="center"/>
    </xf>
    <xf numFmtId="3" fontId="5" fillId="2" borderId="0" xfId="0" applyNumberFormat="1" applyFont="1" applyFill="1" applyBorder="1" applyAlignment="1" applyProtection="1">
      <alignment horizontal="center"/>
    </xf>
    <xf numFmtId="165" fontId="5" fillId="2" borderId="0" xfId="0" applyNumberFormat="1" applyFont="1" applyFill="1" applyAlignment="1" applyProtection="1">
      <alignment horizontal="center"/>
    </xf>
    <xf numFmtId="0" fontId="6" fillId="6" borderId="0" xfId="0" applyFont="1" applyFill="1" applyProtection="1"/>
    <xf numFmtId="0" fontId="5" fillId="6" borderId="0" xfId="0" applyFont="1" applyFill="1" applyProtection="1"/>
    <xf numFmtId="0" fontId="5" fillId="9" borderId="0" xfId="0" applyFont="1" applyFill="1" applyAlignment="1" applyProtection="1">
      <alignment horizontal="center"/>
    </xf>
    <xf numFmtId="165" fontId="5" fillId="9" borderId="0" xfId="0" applyNumberFormat="1" applyFont="1" applyFill="1" applyBorder="1" applyAlignment="1" applyProtection="1">
      <alignment horizontal="center"/>
    </xf>
    <xf numFmtId="164" fontId="5" fillId="9" borderId="0" xfId="1" applyNumberFormat="1" applyFont="1" applyFill="1" applyAlignment="1" applyProtection="1">
      <alignment horizontal="center"/>
    </xf>
    <xf numFmtId="3" fontId="5" fillId="9" borderId="0" xfId="0" applyNumberFormat="1" applyFont="1" applyFill="1" applyBorder="1" applyAlignment="1" applyProtection="1">
      <alignment horizontal="center"/>
    </xf>
    <xf numFmtId="165" fontId="5" fillId="9" borderId="0" xfId="0" applyNumberFormat="1" applyFont="1" applyFill="1" applyAlignment="1" applyProtection="1">
      <alignment horizontal="center"/>
    </xf>
    <xf numFmtId="0" fontId="12" fillId="0" borderId="0" xfId="0" applyFont="1" applyProtection="1"/>
    <xf numFmtId="0" fontId="3" fillId="0" borderId="0" xfId="0" applyFont="1" applyAlignment="1" applyProtection="1"/>
    <xf numFmtId="0" fontId="11" fillId="0" borderId="0" xfId="0" applyFont="1" applyProtection="1"/>
    <xf numFmtId="0" fontId="24" fillId="0" borderId="1" xfId="0" applyFont="1" applyBorder="1" applyProtection="1"/>
    <xf numFmtId="0" fontId="24" fillId="0" borderId="0" xfId="0" applyFont="1" applyProtection="1"/>
    <xf numFmtId="0" fontId="4" fillId="8" borderId="0" xfId="0" applyFont="1" applyFill="1" applyProtection="1"/>
    <xf numFmtId="0" fontId="11" fillId="0" borderId="0" xfId="0" applyFont="1" applyAlignment="1" applyProtection="1">
      <alignment horizontal="right"/>
    </xf>
    <xf numFmtId="165" fontId="11" fillId="0" borderId="0" xfId="0" applyNumberFormat="1" applyFont="1" applyBorder="1" applyAlignment="1" applyProtection="1">
      <alignment horizontal="right"/>
    </xf>
    <xf numFmtId="164" fontId="11" fillId="0" borderId="0" xfId="1" applyNumberFormat="1" applyFont="1" applyAlignment="1" applyProtection="1">
      <alignment horizontal="center"/>
    </xf>
    <xf numFmtId="3" fontId="11" fillId="0" borderId="0" xfId="0" applyNumberFormat="1" applyFont="1" applyBorder="1" applyAlignment="1" applyProtection="1">
      <alignment horizontal="right"/>
    </xf>
    <xf numFmtId="165" fontId="11" fillId="0" borderId="0" xfId="0" applyNumberFormat="1" applyFont="1" applyProtection="1"/>
    <xf numFmtId="0" fontId="4" fillId="0" borderId="0" xfId="0" applyFont="1" applyFill="1" applyProtection="1"/>
    <xf numFmtId="0" fontId="4" fillId="0" borderId="0" xfId="0" applyFont="1" applyFill="1" applyAlignment="1" applyProtection="1">
      <alignment horizontal="center"/>
    </xf>
    <xf numFmtId="0" fontId="4" fillId="0" borderId="1" xfId="0" applyFont="1" applyBorder="1" applyProtection="1"/>
    <xf numFmtId="0" fontId="11" fillId="0" borderId="1" xfId="0" applyFont="1" applyFill="1" applyBorder="1" applyAlignment="1" applyProtection="1">
      <alignment horizontal="center"/>
    </xf>
    <xf numFmtId="2" fontId="11" fillId="17" borderId="0" xfId="0" applyNumberFormat="1" applyFont="1" applyFill="1" applyAlignment="1" applyProtection="1">
      <alignment horizontal="center"/>
      <protection locked="0"/>
    </xf>
    <xf numFmtId="166" fontId="11" fillId="18" borderId="0" xfId="0" applyNumberFormat="1" applyFont="1" applyFill="1" applyAlignment="1" applyProtection="1">
      <alignment horizontal="center"/>
    </xf>
    <xf numFmtId="37" fontId="11" fillId="18" borderId="0" xfId="0" applyNumberFormat="1" applyFont="1" applyFill="1" applyAlignment="1" applyProtection="1">
      <alignment horizontal="center"/>
    </xf>
    <xf numFmtId="166" fontId="11" fillId="19" borderId="0" xfId="0" applyNumberFormat="1" applyFont="1" applyFill="1" applyAlignment="1" applyProtection="1">
      <alignment horizontal="center"/>
    </xf>
    <xf numFmtId="37" fontId="11" fillId="19" borderId="0" xfId="0" applyNumberFormat="1" applyFont="1" applyFill="1" applyAlignment="1" applyProtection="1">
      <alignment horizontal="center"/>
    </xf>
    <xf numFmtId="0" fontId="11" fillId="9" borderId="0" xfId="0" applyFont="1" applyFill="1" applyAlignment="1" applyProtection="1">
      <alignment horizontal="center"/>
      <protection locked="0"/>
    </xf>
    <xf numFmtId="37" fontId="11" fillId="9" borderId="0" xfId="2" applyNumberFormat="1" applyFont="1" applyFill="1" applyAlignment="1" applyProtection="1">
      <alignment horizontal="center"/>
      <protection locked="0"/>
    </xf>
    <xf numFmtId="0" fontId="11" fillId="11" borderId="0" xfId="0" applyFont="1" applyFill="1" applyAlignment="1" applyProtection="1">
      <alignment horizontal="center"/>
      <protection locked="0"/>
    </xf>
    <xf numFmtId="37" fontId="11" fillId="11" borderId="0" xfId="0" applyNumberFormat="1" applyFont="1" applyFill="1" applyAlignment="1" applyProtection="1">
      <alignment horizontal="center"/>
      <protection locked="0"/>
    </xf>
    <xf numFmtId="0" fontId="11" fillId="2" borderId="0" xfId="0" applyFont="1" applyFill="1" applyAlignment="1" applyProtection="1">
      <alignment horizontal="center"/>
      <protection locked="0"/>
    </xf>
    <xf numFmtId="37" fontId="11" fillId="2" borderId="0" xfId="0" applyNumberFormat="1" applyFont="1" applyFill="1" applyAlignment="1" applyProtection="1">
      <alignment horizontal="center"/>
      <protection locked="0"/>
    </xf>
    <xf numFmtId="2" fontId="11" fillId="0" borderId="0" xfId="0" applyNumberFormat="1" applyFont="1" applyFill="1" applyAlignment="1" applyProtection="1">
      <alignment horizontal="center"/>
    </xf>
    <xf numFmtId="166" fontId="11" fillId="0" borderId="0" xfId="0" applyNumberFormat="1" applyFont="1" applyFill="1" applyAlignment="1" applyProtection="1">
      <alignment horizontal="center"/>
    </xf>
    <xf numFmtId="37" fontId="11" fillId="0" borderId="0" xfId="0" applyNumberFormat="1" applyFont="1" applyFill="1" applyAlignment="1" applyProtection="1">
      <alignment horizontal="center"/>
    </xf>
    <xf numFmtId="1" fontId="11" fillId="0" borderId="0" xfId="0" applyNumberFormat="1" applyFont="1" applyFill="1" applyAlignment="1" applyProtection="1">
      <alignment horizontal="center"/>
    </xf>
    <xf numFmtId="37" fontId="11" fillId="0" borderId="0" xfId="2" applyNumberFormat="1" applyFont="1" applyFill="1" applyAlignment="1" applyProtection="1">
      <alignment horizontal="center"/>
    </xf>
    <xf numFmtId="0" fontId="25" fillId="0" borderId="0" xfId="0" applyFont="1" applyProtection="1"/>
    <xf numFmtId="0" fontId="26" fillId="0" borderId="0" xfId="0" applyFont="1" applyAlignment="1" applyProtection="1">
      <alignment horizontal="center"/>
    </xf>
    <xf numFmtId="0" fontId="27" fillId="0" borderId="0" xfId="0" applyFont="1" applyFill="1" applyAlignment="1" applyProtection="1">
      <alignment horizontal="right"/>
    </xf>
    <xf numFmtId="2" fontId="11" fillId="0" borderId="0" xfId="0" applyNumberFormat="1" applyFont="1" applyAlignment="1" applyProtection="1">
      <alignment horizontal="center"/>
    </xf>
    <xf numFmtId="0" fontId="27" fillId="0" borderId="0" xfId="0" applyFont="1" applyAlignment="1" applyProtection="1">
      <alignment horizontal="right"/>
    </xf>
    <xf numFmtId="1" fontId="11" fillId="0" borderId="0" xfId="0" applyNumberFormat="1" applyFont="1" applyAlignment="1" applyProtection="1">
      <alignment horizontal="center"/>
    </xf>
    <xf numFmtId="0" fontId="11" fillId="16" borderId="0" xfId="0" applyFont="1" applyFill="1" applyAlignment="1" applyProtection="1">
      <alignment horizontal="center"/>
      <protection locked="0"/>
    </xf>
    <xf numFmtId="0" fontId="11" fillId="0" borderId="12" xfId="0" applyFont="1" applyBorder="1" applyAlignment="1" applyProtection="1">
      <alignment horizontal="center"/>
    </xf>
    <xf numFmtId="0" fontId="4" fillId="0" borderId="0" xfId="0" applyFont="1" applyProtection="1"/>
    <xf numFmtId="0" fontId="4" fillId="0" borderId="0" xfId="0" applyFont="1" applyAlignment="1" applyProtection="1">
      <alignment horizontal="center"/>
    </xf>
    <xf numFmtId="0" fontId="5" fillId="0" borderId="10" xfId="0" applyFont="1" applyBorder="1" applyAlignment="1" applyProtection="1">
      <alignment horizontal="center"/>
    </xf>
    <xf numFmtId="0" fontId="11" fillId="0" borderId="1" xfId="0" applyFont="1" applyBorder="1" applyAlignment="1" applyProtection="1">
      <alignment horizontal="center"/>
    </xf>
    <xf numFmtId="168" fontId="5" fillId="0" borderId="11" xfId="2" applyNumberFormat="1" applyFont="1" applyBorder="1" applyAlignment="1" applyProtection="1">
      <alignment horizontal="center"/>
    </xf>
    <xf numFmtId="0" fontId="11" fillId="21" borderId="0" xfId="0" applyFont="1" applyFill="1" applyBorder="1" applyAlignment="1" applyProtection="1">
      <alignment horizontal="center"/>
    </xf>
    <xf numFmtId="0" fontId="11" fillId="21" borderId="0" xfId="0" applyFont="1" applyFill="1" applyAlignment="1" applyProtection="1">
      <alignment horizontal="center"/>
    </xf>
    <xf numFmtId="0" fontId="11" fillId="21" borderId="0" xfId="0" applyNumberFormat="1" applyFont="1" applyFill="1" applyBorder="1" applyAlignment="1" applyProtection="1">
      <alignment horizontal="center"/>
    </xf>
    <xf numFmtId="2" fontId="11" fillId="21" borderId="0" xfId="0" applyNumberFormat="1" applyFont="1" applyFill="1" applyAlignment="1" applyProtection="1">
      <alignment horizontal="center"/>
    </xf>
    <xf numFmtId="165" fontId="11" fillId="21" borderId="0" xfId="0" applyNumberFormat="1" applyFont="1" applyFill="1" applyAlignment="1" applyProtection="1">
      <alignment horizontal="center"/>
    </xf>
    <xf numFmtId="37" fontId="11" fillId="21" borderId="0" xfId="0" applyNumberFormat="1" applyFont="1" applyFill="1" applyAlignment="1" applyProtection="1">
      <alignment horizontal="center"/>
    </xf>
    <xf numFmtId="3" fontId="11" fillId="21" borderId="0" xfId="0" applyNumberFormat="1" applyFont="1" applyFill="1" applyAlignment="1" applyProtection="1">
      <alignment horizontal="center"/>
    </xf>
    <xf numFmtId="43" fontId="11" fillId="0" borderId="10" xfId="2" applyNumberFormat="1" applyFont="1" applyBorder="1" applyAlignment="1" applyProtection="1">
      <alignment horizontal="center"/>
      <protection locked="0"/>
    </xf>
    <xf numFmtId="2" fontId="11" fillId="0" borderId="0" xfId="0" applyNumberFormat="1" applyFont="1" applyBorder="1" applyAlignment="1" applyProtection="1">
      <alignment horizontal="center"/>
    </xf>
    <xf numFmtId="0" fontId="11" fillId="0" borderId="0" xfId="0" applyNumberFormat="1" applyFont="1" applyBorder="1" applyAlignment="1" applyProtection="1">
      <alignment horizontal="center"/>
    </xf>
    <xf numFmtId="165" fontId="11" fillId="0" borderId="0" xfId="0" applyNumberFormat="1" applyFont="1" applyAlignment="1" applyProtection="1">
      <alignment horizontal="center"/>
    </xf>
    <xf numFmtId="37" fontId="11" fillId="0" borderId="0" xfId="0" applyNumberFormat="1" applyFont="1" applyAlignment="1" applyProtection="1">
      <alignment horizontal="center"/>
    </xf>
    <xf numFmtId="3" fontId="11" fillId="0" borderId="0" xfId="0" applyNumberFormat="1" applyFont="1" applyAlignment="1" applyProtection="1">
      <alignment horizontal="center"/>
    </xf>
    <xf numFmtId="43" fontId="11" fillId="0" borderId="11" xfId="2" applyNumberFormat="1" applyFont="1" applyBorder="1" applyAlignment="1" applyProtection="1">
      <alignment horizontal="center"/>
      <protection locked="0"/>
    </xf>
    <xf numFmtId="168" fontId="11" fillId="0" borderId="0" xfId="2" applyNumberFormat="1" applyFont="1" applyBorder="1" applyAlignment="1" applyProtection="1">
      <alignment horizontal="center"/>
    </xf>
    <xf numFmtId="3" fontId="7" fillId="0" borderId="13" xfId="0" applyNumberFormat="1" applyFont="1" applyBorder="1" applyAlignment="1" applyProtection="1">
      <alignment horizontal="center"/>
    </xf>
    <xf numFmtId="166" fontId="11" fillId="0" borderId="0" xfId="0" applyNumberFormat="1" applyFont="1" applyProtection="1"/>
    <xf numFmtId="0" fontId="28" fillId="0" borderId="0" xfId="0" applyFont="1" applyAlignment="1" applyProtection="1"/>
    <xf numFmtId="14" fontId="11" fillId="0" borderId="0" xfId="0" applyNumberFormat="1" applyFont="1" applyAlignment="1" applyProtection="1">
      <alignment horizontal="right"/>
    </xf>
    <xf numFmtId="14" fontId="11" fillId="0" borderId="0" xfId="0" applyNumberFormat="1" applyFont="1" applyAlignment="1" applyProtection="1">
      <alignment horizontal="left"/>
    </xf>
    <xf numFmtId="0" fontId="24" fillId="0" borderId="0" xfId="0" applyFont="1" applyAlignment="1" applyProtection="1">
      <alignment horizontal="center"/>
    </xf>
    <xf numFmtId="0" fontId="29" fillId="8" borderId="0" xfId="0" applyFont="1" applyFill="1" applyProtection="1"/>
    <xf numFmtId="0" fontId="7" fillId="8" borderId="0" xfId="0" applyFont="1" applyFill="1" applyProtection="1"/>
    <xf numFmtId="0" fontId="7" fillId="0" borderId="0" xfId="0" applyFont="1" applyAlignment="1" applyProtection="1">
      <alignment horizontal="center"/>
    </xf>
    <xf numFmtId="3" fontId="7" fillId="0" borderId="0" xfId="0" applyNumberFormat="1" applyFont="1" applyProtection="1"/>
    <xf numFmtId="0" fontId="30" fillId="0" borderId="0" xfId="0" applyFont="1" applyProtection="1"/>
    <xf numFmtId="168" fontId="7" fillId="0" borderId="2" xfId="2" applyNumberFormat="1" applyFont="1" applyBorder="1" applyAlignment="1" applyProtection="1">
      <alignment horizontal="center"/>
      <protection locked="0"/>
    </xf>
    <xf numFmtId="0" fontId="7" fillId="0" borderId="8" xfId="0" applyFont="1" applyBorder="1" applyProtection="1"/>
    <xf numFmtId="0" fontId="7" fillId="0" borderId="9" xfId="0" applyFont="1" applyBorder="1" applyProtection="1"/>
    <xf numFmtId="3" fontId="7" fillId="17" borderId="0" xfId="0" applyNumberFormat="1" applyFont="1" applyFill="1" applyProtection="1">
      <protection locked="0"/>
    </xf>
    <xf numFmtId="0" fontId="7" fillId="0" borderId="0" xfId="0" applyFont="1" applyFill="1" applyAlignment="1" applyProtection="1">
      <alignment horizontal="right"/>
    </xf>
    <xf numFmtId="3" fontId="7" fillId="0" borderId="0" xfId="0" applyNumberFormat="1" applyFont="1" applyFill="1" applyProtection="1"/>
    <xf numFmtId="0" fontId="7" fillId="0" borderId="0" xfId="0" applyFont="1" applyFill="1" applyProtection="1"/>
    <xf numFmtId="0" fontId="7" fillId="0" borderId="0" xfId="0" applyFont="1" applyFill="1" applyAlignment="1" applyProtection="1">
      <alignment horizontal="left"/>
    </xf>
    <xf numFmtId="0" fontId="7" fillId="0" borderId="0" xfId="0" applyFont="1" applyFill="1" applyAlignment="1" applyProtection="1">
      <alignment horizontal="center"/>
    </xf>
    <xf numFmtId="0" fontId="29" fillId="8" borderId="0" xfId="0" applyFont="1" applyFill="1" applyAlignment="1" applyProtection="1">
      <alignment horizontal="right"/>
    </xf>
    <xf numFmtId="2" fontId="7" fillId="17" borderId="0" xfId="0" applyNumberFormat="1" applyFont="1" applyFill="1" applyProtection="1">
      <protection locked="0"/>
    </xf>
    <xf numFmtId="0" fontId="29" fillId="0" borderId="1" xfId="0" applyFont="1" applyBorder="1" applyAlignment="1" applyProtection="1">
      <alignment horizontal="center"/>
    </xf>
    <xf numFmtId="166"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xf>
    <xf numFmtId="3" fontId="7" fillId="17" borderId="0" xfId="0" applyNumberFormat="1" applyFont="1" applyFill="1" applyAlignment="1" applyProtection="1">
      <alignment horizontal="center"/>
      <protection locked="0"/>
    </xf>
    <xf numFmtId="3" fontId="7" fillId="0" borderId="0" xfId="0" applyNumberFormat="1" applyFont="1" applyAlignment="1" applyProtection="1">
      <alignment horizontal="center"/>
    </xf>
    <xf numFmtId="166" fontId="7" fillId="17" borderId="0" xfId="0" applyNumberFormat="1" applyFont="1" applyFill="1" applyAlignment="1" applyProtection="1">
      <alignment horizontal="center"/>
      <protection locked="0"/>
    </xf>
    <xf numFmtId="0" fontId="7" fillId="0" borderId="0" xfId="0" applyFont="1"/>
    <xf numFmtId="164" fontId="7" fillId="0" borderId="0" xfId="1" applyNumberFormat="1" applyFont="1" applyProtection="1"/>
    <xf numFmtId="164" fontId="7" fillId="8" borderId="0" xfId="1" applyNumberFormat="1" applyFont="1" applyFill="1" applyProtection="1"/>
    <xf numFmtId="164" fontId="7" fillId="0" borderId="0" xfId="0" applyNumberFormat="1" applyFont="1" applyProtection="1"/>
    <xf numFmtId="0" fontId="7" fillId="8" borderId="0" xfId="0" applyFont="1" applyFill="1" applyAlignment="1" applyProtection="1">
      <alignment horizontal="center"/>
    </xf>
    <xf numFmtId="0" fontId="30" fillId="0" borderId="0" xfId="0" applyFont="1" applyAlignment="1" applyProtection="1">
      <alignment horizontal="center"/>
    </xf>
    <xf numFmtId="0" fontId="7" fillId="0" borderId="0" xfId="0" applyFont="1" applyAlignment="1" applyProtection="1">
      <alignment horizontal="left"/>
    </xf>
    <xf numFmtId="164" fontId="7" fillId="0" borderId="0" xfId="1" applyNumberFormat="1" applyFont="1" applyAlignment="1" applyProtection="1">
      <alignment horizontal="center"/>
    </xf>
    <xf numFmtId="2" fontId="7" fillId="0" borderId="0" xfId="0" applyNumberFormat="1" applyFont="1" applyAlignment="1" applyProtection="1">
      <alignment horizontal="center"/>
    </xf>
    <xf numFmtId="0" fontId="31" fillId="0" borderId="1" xfId="0" applyFont="1" applyBorder="1" applyProtection="1"/>
    <xf numFmtId="0" fontId="31" fillId="0" borderId="0" xfId="0" applyFont="1" applyProtection="1"/>
    <xf numFmtId="0" fontId="31" fillId="0" borderId="0" xfId="0" applyFont="1" applyAlignment="1" applyProtection="1">
      <alignment horizontal="center"/>
    </xf>
    <xf numFmtId="0" fontId="9" fillId="0" borderId="0" xfId="0" applyFont="1" applyAlignment="1" applyProtection="1">
      <alignment horizontal="right"/>
    </xf>
    <xf numFmtId="3" fontId="5" fillId="0" borderId="0" xfId="0" applyNumberFormat="1" applyFont="1" applyProtection="1"/>
    <xf numFmtId="2" fontId="6" fillId="20" borderId="0" xfId="0" applyNumberFormat="1" applyFont="1" applyFill="1" applyProtection="1">
      <protection locked="0"/>
    </xf>
    <xf numFmtId="0" fontId="6" fillId="3" borderId="0" xfId="0" applyFont="1" applyFill="1" applyProtection="1"/>
    <xf numFmtId="0" fontId="5" fillId="0" borderId="3" xfId="0" applyFont="1" applyBorder="1" applyProtection="1"/>
    <xf numFmtId="168" fontId="5" fillId="0" borderId="0" xfId="2" applyNumberFormat="1" applyFont="1" applyBorder="1" applyAlignment="1" applyProtection="1">
      <alignment horizontal="right"/>
      <protection locked="0"/>
    </xf>
    <xf numFmtId="2" fontId="6" fillId="0" borderId="0" xfId="0" applyNumberFormat="1" applyFont="1" applyFill="1" applyProtection="1"/>
    <xf numFmtId="0" fontId="5" fillId="0" borderId="5" xfId="0" applyFont="1" applyBorder="1" applyProtection="1"/>
    <xf numFmtId="168" fontId="5" fillId="0" borderId="1" xfId="2" applyNumberFormat="1" applyFont="1" applyBorder="1" applyAlignment="1" applyProtection="1">
      <alignment horizontal="right"/>
      <protection locked="0"/>
    </xf>
    <xf numFmtId="0" fontId="6" fillId="0" borderId="0" xfId="0" applyFont="1" applyProtection="1"/>
    <xf numFmtId="0" fontId="6" fillId="0" borderId="0" xfId="0" applyFont="1" applyAlignment="1" applyProtection="1">
      <alignment horizontal="center"/>
    </xf>
    <xf numFmtId="0" fontId="6" fillId="9" borderId="0" xfId="0" applyFont="1" applyFill="1" applyProtection="1"/>
    <xf numFmtId="0" fontId="5" fillId="9" borderId="0" xfId="0" applyFont="1" applyFill="1" applyProtection="1"/>
    <xf numFmtId="0" fontId="5" fillId="0" borderId="1" xfId="0" applyFont="1" applyBorder="1" applyAlignment="1" applyProtection="1">
      <alignment horizontal="center"/>
    </xf>
    <xf numFmtId="2" fontId="5" fillId="0" borderId="0" xfId="0" applyNumberFormat="1" applyFont="1" applyAlignment="1" applyProtection="1">
      <alignment horizontal="center"/>
    </xf>
    <xf numFmtId="3" fontId="5" fillId="20" borderId="0" xfId="0" applyNumberFormat="1" applyFont="1" applyFill="1" applyAlignment="1" applyProtection="1">
      <alignment horizontal="center"/>
      <protection locked="0"/>
    </xf>
    <xf numFmtId="3" fontId="5" fillId="0" borderId="0" xfId="0" applyNumberFormat="1" applyFont="1" applyAlignment="1" applyProtection="1">
      <alignment horizontal="center"/>
    </xf>
    <xf numFmtId="2" fontId="5" fillId="20" borderId="0" xfId="0" applyNumberFormat="1" applyFont="1" applyFill="1" applyAlignment="1" applyProtection="1">
      <alignment horizontal="center"/>
      <protection locked="0"/>
    </xf>
    <xf numFmtId="0" fontId="32" fillId="0" borderId="0" xfId="0" applyFont="1" applyProtection="1"/>
    <xf numFmtId="0" fontId="5" fillId="9" borderId="0" xfId="0" applyFont="1" applyFill="1" applyAlignment="1" applyProtection="1">
      <alignment horizontal="right"/>
    </xf>
    <xf numFmtId="167" fontId="5" fillId="9" borderId="0" xfId="0" applyNumberFormat="1" applyFont="1" applyFill="1" applyAlignment="1" applyProtection="1">
      <alignment horizontal="center"/>
    </xf>
    <xf numFmtId="3" fontId="5" fillId="9" borderId="0" xfId="0" applyNumberFormat="1" applyFont="1" applyFill="1" applyAlignment="1" applyProtection="1">
      <alignment horizontal="center"/>
    </xf>
    <xf numFmtId="0" fontId="5" fillId="0" borderId="0" xfId="0" applyFont="1" applyAlignment="1" applyProtection="1">
      <alignment horizontal="left"/>
    </xf>
    <xf numFmtId="164" fontId="5" fillId="0" borderId="0" xfId="0" applyNumberFormat="1" applyFont="1" applyAlignment="1" applyProtection="1">
      <alignment horizontal="center"/>
    </xf>
    <xf numFmtId="0" fontId="11" fillId="0" borderId="1" xfId="0" applyFont="1" applyBorder="1" applyProtection="1"/>
    <xf numFmtId="0" fontId="4" fillId="13" borderId="0" xfId="0" applyFont="1" applyFill="1" applyProtection="1"/>
    <xf numFmtId="0" fontId="11" fillId="0" borderId="0" xfId="0" applyFont="1" applyFill="1" applyProtection="1"/>
    <xf numFmtId="1" fontId="11" fillId="0" borderId="0" xfId="0" applyNumberFormat="1" applyFont="1" applyFill="1" applyAlignment="1" applyProtection="1">
      <alignment horizontal="center" wrapText="1"/>
    </xf>
    <xf numFmtId="37" fontId="11" fillId="0" borderId="0" xfId="0" applyNumberFormat="1" applyFont="1" applyFill="1" applyAlignment="1" applyProtection="1">
      <alignment horizontal="center" wrapText="1"/>
    </xf>
    <xf numFmtId="2" fontId="11" fillId="0" borderId="1" xfId="0" applyNumberFormat="1" applyFont="1" applyFill="1" applyBorder="1" applyAlignment="1" applyProtection="1">
      <alignment horizontal="center"/>
    </xf>
    <xf numFmtId="166" fontId="11" fillId="0" borderId="1" xfId="0" applyNumberFormat="1" applyFont="1" applyFill="1" applyBorder="1" applyAlignment="1" applyProtection="1">
      <alignment horizontal="center"/>
    </xf>
    <xf numFmtId="37" fontId="11" fillId="0" borderId="1" xfId="0" applyNumberFormat="1" applyFont="1" applyFill="1" applyBorder="1" applyAlignment="1" applyProtection="1">
      <alignment horizontal="center"/>
    </xf>
    <xf numFmtId="1" fontId="11" fillId="0" borderId="1" xfId="0" applyNumberFormat="1" applyFont="1" applyFill="1" applyBorder="1" applyAlignment="1" applyProtection="1">
      <alignment horizontal="center"/>
    </xf>
    <xf numFmtId="0" fontId="11" fillId="0" borderId="0" xfId="0" applyFont="1" applyBorder="1" applyAlignment="1" applyProtection="1">
      <alignment horizontal="center"/>
    </xf>
    <xf numFmtId="0" fontId="11" fillId="20" borderId="0" xfId="0" applyNumberFormat="1" applyFont="1" applyFill="1" applyAlignment="1" applyProtection="1">
      <alignment horizontal="center"/>
      <protection locked="0"/>
    </xf>
    <xf numFmtId="39" fontId="11" fillId="20" borderId="0" xfId="0" applyNumberFormat="1" applyFont="1" applyFill="1" applyAlignment="1" applyProtection="1">
      <alignment horizontal="center"/>
      <protection locked="0"/>
    </xf>
    <xf numFmtId="3" fontId="11" fillId="20" borderId="0" xfId="0" applyNumberFormat="1" applyFont="1" applyFill="1" applyAlignment="1" applyProtection="1">
      <alignment horizontal="center"/>
      <protection locked="0"/>
    </xf>
    <xf numFmtId="39" fontId="11" fillId="0" borderId="0" xfId="0" applyNumberFormat="1" applyFont="1" applyFill="1" applyAlignment="1" applyProtection="1">
      <alignment horizontal="center"/>
    </xf>
    <xf numFmtId="0" fontId="11" fillId="0" borderId="0" xfId="0" applyFont="1" applyAlignment="1" applyProtection="1">
      <alignment horizontal="center" wrapText="1"/>
    </xf>
    <xf numFmtId="166" fontId="11" fillId="0" borderId="0" xfId="0" applyNumberFormat="1" applyFont="1" applyAlignment="1" applyProtection="1">
      <alignment horizontal="center" wrapText="1"/>
    </xf>
    <xf numFmtId="164" fontId="11" fillId="0" borderId="0" xfId="0" applyNumberFormat="1" applyFont="1" applyAlignment="1" applyProtection="1">
      <alignment horizontal="center"/>
    </xf>
    <xf numFmtId="1" fontId="11" fillId="20" borderId="0" xfId="0" applyNumberFormat="1" applyFont="1" applyFill="1" applyAlignment="1" applyProtection="1">
      <alignment horizontal="center"/>
      <protection locked="0"/>
    </xf>
    <xf numFmtId="0" fontId="33" fillId="0" borderId="0" xfId="0" applyFont="1" applyAlignment="1" applyProtection="1">
      <alignment horizontal="left"/>
    </xf>
    <xf numFmtId="166" fontId="11" fillId="0" borderId="0" xfId="0" applyNumberFormat="1" applyFont="1" applyAlignment="1" applyProtection="1">
      <alignment horizontal="center"/>
    </xf>
    <xf numFmtId="166" fontId="7" fillId="0" borderId="0" xfId="0" applyNumberFormat="1" applyFont="1" applyAlignment="1" applyProtection="1">
      <alignment horizontal="center"/>
    </xf>
    <xf numFmtId="1" fontId="7" fillId="0" borderId="0" xfId="0" applyNumberFormat="1" applyFont="1" applyAlignment="1" applyProtection="1">
      <alignment horizontal="center"/>
    </xf>
    <xf numFmtId="165" fontId="7" fillId="0" borderId="0" xfId="0" applyNumberFormat="1" applyFont="1" applyAlignment="1" applyProtection="1">
      <alignment horizontal="center"/>
    </xf>
    <xf numFmtId="37" fontId="7" fillId="0" borderId="0" xfId="0" applyNumberFormat="1" applyFont="1" applyAlignment="1" applyProtection="1">
      <alignment horizontal="center"/>
    </xf>
    <xf numFmtId="0" fontId="3" fillId="0" borderId="0" xfId="0" applyFont="1" applyAlignment="1">
      <alignment horizontal="center"/>
    </xf>
    <xf numFmtId="0" fontId="4" fillId="0" borderId="0" xfId="0" applyFont="1" applyAlignment="1">
      <alignment horizontal="center"/>
    </xf>
    <xf numFmtId="0" fontId="7" fillId="0" borderId="13" xfId="0" applyFont="1" applyFill="1" applyBorder="1" applyAlignment="1">
      <alignment horizontal="center"/>
    </xf>
    <xf numFmtId="0" fontId="7" fillId="0" borderId="0" xfId="0" applyFont="1" applyFill="1" applyAlignment="1">
      <alignment horizontal="center"/>
    </xf>
    <xf numFmtId="0" fontId="5" fillId="2" borderId="0" xfId="0" applyFont="1" applyFill="1" applyAlignment="1" applyProtection="1">
      <alignment horizontal="left" vertical="top" wrapText="1"/>
      <protection locked="0"/>
    </xf>
    <xf numFmtId="0" fontId="5" fillId="10" borderId="0" xfId="0" applyFont="1" applyFill="1" applyAlignment="1" applyProtection="1">
      <alignment horizontal="left"/>
      <protection locked="0"/>
    </xf>
    <xf numFmtId="0" fontId="5" fillId="3" borderId="0" xfId="0" applyFont="1" applyFill="1" applyAlignment="1" applyProtection="1">
      <alignment horizontal="left"/>
      <protection locked="0"/>
    </xf>
    <xf numFmtId="0" fontId="6" fillId="0" borderId="0" xfId="0" applyFont="1" applyAlignment="1" applyProtection="1">
      <alignment horizontal="right"/>
    </xf>
    <xf numFmtId="0" fontId="5" fillId="2" borderId="0" xfId="0" applyFont="1" applyFill="1" applyAlignment="1" applyProtection="1">
      <alignment horizontal="left"/>
      <protection locked="0"/>
    </xf>
    <xf numFmtId="0" fontId="8" fillId="10" borderId="0" xfId="0" applyFont="1" applyFill="1" applyAlignment="1" applyProtection="1">
      <alignment horizontal="center"/>
    </xf>
    <xf numFmtId="0" fontId="5" fillId="0" borderId="0" xfId="0" applyFont="1" applyAlignment="1" applyProtection="1">
      <alignment horizontal="left" vertical="top" wrapText="1"/>
    </xf>
    <xf numFmtId="0" fontId="3" fillId="0" borderId="0" xfId="0" applyFont="1" applyAlignment="1" applyProtection="1">
      <alignment horizontal="center"/>
    </xf>
    <xf numFmtId="14" fontId="5" fillId="10" borderId="0" xfId="0" applyNumberFormat="1" applyFont="1" applyFill="1" applyAlignment="1" applyProtection="1">
      <alignment horizontal="left"/>
      <protection locked="0"/>
    </xf>
    <xf numFmtId="0" fontId="4" fillId="0" borderId="0" xfId="0" applyFont="1" applyAlignment="1" applyProtection="1">
      <alignment horizontal="center"/>
    </xf>
    <xf numFmtId="0" fontId="16" fillId="0" borderId="0" xfId="0" applyFont="1" applyFill="1" applyAlignment="1" applyProtection="1">
      <alignment horizontal="left" vertical="top" wrapText="1"/>
    </xf>
    <xf numFmtId="0" fontId="10" fillId="10" borderId="0" xfId="0" applyFont="1" applyFill="1" applyAlignment="1" applyProtection="1">
      <alignment horizontal="center"/>
    </xf>
    <xf numFmtId="0" fontId="5" fillId="0" borderId="0" xfId="0" applyFont="1" applyFill="1" applyAlignment="1" applyProtection="1">
      <alignment horizontal="left"/>
    </xf>
    <xf numFmtId="14" fontId="5" fillId="0" borderId="0" xfId="0" applyNumberFormat="1" applyFont="1" applyFill="1" applyAlignment="1" applyProtection="1">
      <alignment horizontal="left"/>
    </xf>
    <xf numFmtId="0" fontId="6" fillId="6" borderId="0" xfId="0" applyFont="1" applyFill="1" applyAlignment="1" applyProtection="1">
      <alignment horizontal="center"/>
    </xf>
    <xf numFmtId="0" fontId="5" fillId="0" borderId="0" xfId="0" applyFont="1" applyAlignment="1" applyProtection="1">
      <alignment horizontal="center"/>
    </xf>
    <xf numFmtId="0" fontId="6" fillId="12" borderId="0" xfId="0" applyFont="1" applyFill="1" applyAlignment="1" applyProtection="1">
      <alignment horizontal="center"/>
    </xf>
    <xf numFmtId="0" fontId="6" fillId="14" borderId="0" xfId="0" applyFont="1" applyFill="1" applyAlignment="1" applyProtection="1">
      <alignment horizontal="center"/>
    </xf>
    <xf numFmtId="0" fontId="5" fillId="0" borderId="0" xfId="0" applyFont="1" applyAlignment="1" applyProtection="1">
      <alignment horizontal="left"/>
    </xf>
    <xf numFmtId="0" fontId="10" fillId="7" borderId="0" xfId="0" applyFont="1" applyFill="1" applyAlignment="1" applyProtection="1">
      <alignment horizontal="center"/>
    </xf>
    <xf numFmtId="0" fontId="6" fillId="7" borderId="0" xfId="0" applyFont="1" applyFill="1" applyAlignment="1" applyProtection="1">
      <alignment horizontal="center"/>
    </xf>
    <xf numFmtId="0" fontId="28" fillId="0" borderId="0" xfId="0" applyFont="1" applyAlignment="1" applyProtection="1">
      <alignment horizontal="center"/>
    </xf>
    <xf numFmtId="0" fontId="3" fillId="0" borderId="0" xfId="0" applyFont="1" applyFill="1" applyAlignment="1" applyProtection="1">
      <alignment horizontal="center"/>
    </xf>
    <xf numFmtId="0" fontId="4" fillId="0" borderId="0" xfId="0" applyFont="1" applyFill="1" applyAlignment="1" applyProtection="1">
      <alignment horizontal="center"/>
    </xf>
    <xf numFmtId="14" fontId="11" fillId="0" borderId="0" xfId="0" applyNumberFormat="1" applyFont="1" applyAlignment="1" applyProtection="1">
      <alignment horizontal="left"/>
    </xf>
    <xf numFmtId="0" fontId="11" fillId="0" borderId="0" xfId="0" applyFont="1" applyAlignment="1" applyProtection="1">
      <alignment horizontal="left"/>
    </xf>
    <xf numFmtId="0" fontId="11" fillId="10" borderId="0" xfId="0" applyFont="1" applyFill="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7" fillId="0" borderId="9" xfId="0" applyFont="1" applyBorder="1" applyAlignment="1" applyProtection="1">
      <alignment horizontal="center"/>
    </xf>
    <xf numFmtId="0" fontId="7" fillId="17" borderId="0" xfId="0" applyFont="1" applyFill="1" applyAlignment="1" applyProtection="1">
      <alignment horizontal="left"/>
      <protection locked="0"/>
    </xf>
    <xf numFmtId="0" fontId="11" fillId="17" borderId="0" xfId="0" applyFont="1" applyFill="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5" fillId="20" borderId="0" xfId="0" applyFont="1" applyFill="1" applyAlignment="1" applyProtection="1">
      <alignment horizontal="center"/>
    </xf>
    <xf numFmtId="0" fontId="6" fillId="3" borderId="0" xfId="0" applyFont="1" applyFill="1" applyAlignment="1" applyProtection="1">
      <alignment horizontal="right"/>
    </xf>
    <xf numFmtId="0" fontId="6" fillId="0" borderId="0" xfId="0" applyFont="1" applyFill="1" applyAlignment="1" applyProtection="1">
      <alignment horizontal="right"/>
    </xf>
    <xf numFmtId="0" fontId="11" fillId="20" borderId="0" xfId="0" applyFont="1" applyFill="1" applyAlignment="1" applyProtection="1">
      <alignment horizontal="center"/>
    </xf>
  </cellXfs>
  <cellStyles count="3">
    <cellStyle name="Comma" xfId="2" builtinId="3"/>
    <cellStyle name="Normal" xfId="0" builtinId="0"/>
    <cellStyle name="Percent" xfId="1" builtinId="5"/>
  </cellStyles>
  <dxfs count="19">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font>
      <fill>
        <patternFill>
          <bgColor rgb="FFFFC000"/>
        </patternFill>
      </fill>
    </dxf>
    <dxf>
      <font>
        <b/>
        <i val="0"/>
        <color theme="0"/>
      </font>
      <fill>
        <patternFill>
          <bgColor theme="9"/>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CC66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139065</xdr:colOff>
      <xdr:row>1</xdr:row>
      <xdr:rowOff>116205</xdr:rowOff>
    </xdr:from>
    <xdr:ext cx="5684520" cy="7227570"/>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39065" y="278130"/>
          <a:ext cx="5684520" cy="72275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latin typeface="Calibri" panose="020F0502020204030204" pitchFamily="34" charset="0"/>
              <a:cs typeface="Calibri" panose="020F0502020204030204" pitchFamily="34" charset="0"/>
            </a:rPr>
            <a:t>Purpose:</a:t>
          </a:r>
        </a:p>
        <a:p>
          <a:pPr algn="l"/>
          <a:r>
            <a:rPr lang="en-US" sz="1100">
              <a:latin typeface="Calibri" panose="020F0502020204030204" pitchFamily="34" charset="0"/>
              <a:cs typeface="Calibri" panose="020F0502020204030204" pitchFamily="34" charset="0"/>
            </a:rPr>
            <a:t>This</a:t>
          </a:r>
          <a:r>
            <a:rPr lang="en-US" sz="1100" baseline="0">
              <a:latin typeface="Calibri" panose="020F0502020204030204" pitchFamily="34" charset="0"/>
              <a:cs typeface="Calibri" panose="020F0502020204030204" pitchFamily="34" charset="0"/>
            </a:rPr>
            <a:t> spreadsheet file has been created to assist in the design and review of Dry and Dry ED Detention Pond Projects which are seeking or have obtained funding through the State of Iowa's water quality programs.</a:t>
          </a:r>
        </a:p>
        <a:p>
          <a:pPr algn="l"/>
          <a:endParaRPr lang="en-US" sz="1100" baseline="0">
            <a:latin typeface="Calibri" panose="020F0502020204030204" pitchFamily="34" charset="0"/>
            <a:cs typeface="Calibri" panose="020F0502020204030204" pitchFamily="34" charset="0"/>
          </a:endParaRPr>
        </a:p>
        <a:p>
          <a:pPr algn="l"/>
          <a:r>
            <a:rPr lang="en-US" sz="1100" baseline="0">
              <a:latin typeface="Calibri" panose="020F0502020204030204" pitchFamily="34" charset="0"/>
              <a:cs typeface="Calibri" panose="020F0502020204030204" pitchFamily="34" charset="0"/>
            </a:rPr>
            <a:t>This document is intended to be completed by the designer to provide review agencies with project data assembled and presented for review in a consistent manner from project to project.</a:t>
          </a:r>
        </a:p>
        <a:p>
          <a:pPr algn="l"/>
          <a:endParaRPr lang="en-US" sz="1100" baseline="0">
            <a:latin typeface="Calibri" panose="020F0502020204030204" pitchFamily="34" charset="0"/>
            <a:cs typeface="Calibri" panose="020F0502020204030204" pitchFamily="34" charset="0"/>
          </a:endParaRPr>
        </a:p>
        <a:p>
          <a:pPr algn="l"/>
          <a:r>
            <a:rPr lang="en-US" sz="1100" baseline="0">
              <a:latin typeface="Calibri" panose="020F0502020204030204" pitchFamily="34" charset="0"/>
              <a:cs typeface="Calibri" panose="020F0502020204030204" pitchFamily="34" charset="0"/>
            </a:rPr>
            <a:t>Using data entered by the designer (data to be entered within the provided blank shaded boxes on each tabulation sheet), this document will complete many of the basic sizing calculation steps following the methods described within the Iowa Stormwater Management Manual (ISWMM).</a:t>
          </a:r>
        </a:p>
        <a:p>
          <a:endParaRPr lang="en-US" sz="1100" baseline="0">
            <a:latin typeface="Calibri" panose="020F0502020204030204" pitchFamily="34" charset="0"/>
            <a:cs typeface="Calibri" panose="020F0502020204030204" pitchFamily="34" charset="0"/>
          </a:endParaRPr>
        </a:p>
        <a:p>
          <a:r>
            <a:rPr lang="en-US" sz="1100" b="1" u="sng" baseline="0">
              <a:latin typeface="Calibri" panose="020F0502020204030204" pitchFamily="34" charset="0"/>
              <a:cs typeface="Calibri" panose="020F0502020204030204" pitchFamily="34" charset="0"/>
            </a:rPr>
            <a:t>Contents:</a:t>
          </a:r>
        </a:p>
        <a:p>
          <a:endParaRPr lang="en-US" sz="1100" baseline="0">
            <a:latin typeface="Calibri" panose="020F0502020204030204" pitchFamily="34" charset="0"/>
            <a:cs typeface="Calibri" panose="020F0502020204030204" pitchFamily="34" charset="0"/>
          </a:endParaRPr>
        </a:p>
        <a:p>
          <a:r>
            <a:rPr lang="en-US" sz="1100" b="0" baseline="0">
              <a:solidFill>
                <a:schemeClr val="accent6">
                  <a:lumMod val="75000"/>
                </a:schemeClr>
              </a:solidFill>
              <a:latin typeface="Calibri" panose="020F0502020204030204" pitchFamily="34" charset="0"/>
              <a:cs typeface="Calibri" panose="020F0502020204030204" pitchFamily="34" charset="0"/>
            </a:rPr>
            <a:t>Checklists (to be completed and provided as part of State of Iowa water quality project review):</a:t>
          </a:r>
        </a:p>
        <a:p>
          <a:r>
            <a:rPr lang="en-US" sz="1100" baseline="0">
              <a:latin typeface="Calibri" panose="020F0502020204030204" pitchFamily="34" charset="0"/>
              <a:cs typeface="Calibri" panose="020F0502020204030204" pitchFamily="34" charset="0"/>
            </a:rPr>
            <a:t>CL_1: Site Screening</a:t>
          </a:r>
        </a:p>
        <a:p>
          <a:r>
            <a:rPr lang="en-US" sz="1100" baseline="0">
              <a:latin typeface="Calibri" panose="020F0502020204030204" pitchFamily="34" charset="0"/>
              <a:cs typeface="Calibri" panose="020F0502020204030204" pitchFamily="34" charset="0"/>
            </a:rPr>
            <a:t>CL_2: Design Summary</a:t>
          </a:r>
        </a:p>
        <a:p>
          <a:endParaRPr lang="en-US" sz="1100" baseline="0">
            <a:latin typeface="Calibri" panose="020F0502020204030204" pitchFamily="34" charset="0"/>
            <a:cs typeface="Calibri" panose="020F0502020204030204" pitchFamily="34" charset="0"/>
          </a:endParaRPr>
        </a:p>
        <a:p>
          <a:r>
            <a:rPr lang="en-US" sz="1100" b="0" baseline="0">
              <a:solidFill>
                <a:srgbClr val="0070C0"/>
              </a:solidFill>
              <a:latin typeface="Calibri" panose="020F0502020204030204" pitchFamily="34" charset="0"/>
              <a:cs typeface="Calibri" panose="020F0502020204030204" pitchFamily="34" charset="0"/>
            </a:rPr>
            <a:t>Calculation worksheets (integrated into project design reports at required stage of review):</a:t>
          </a:r>
        </a:p>
        <a:p>
          <a:r>
            <a:rPr lang="en-US" sz="1100" baseline="0">
              <a:latin typeface="Calibri" panose="020F0502020204030204" pitchFamily="34" charset="0"/>
              <a:cs typeface="Calibri" panose="020F0502020204030204" pitchFamily="34" charset="0"/>
            </a:rPr>
            <a:t>DE_1: Watershed Info</a:t>
          </a:r>
        </a:p>
        <a:p>
          <a:r>
            <a:rPr lang="en-US" sz="1100" baseline="0">
              <a:latin typeface="Calibri" panose="020F0502020204030204" pitchFamily="34" charset="0"/>
              <a:cs typeface="Calibri" panose="020F0502020204030204" pitchFamily="34" charset="0"/>
            </a:rPr>
            <a:t>Step 3: Hydrology*</a:t>
          </a:r>
        </a:p>
        <a:p>
          <a:r>
            <a:rPr lang="en-US" sz="1100" baseline="0">
              <a:latin typeface="Calibri" panose="020F0502020204030204" pitchFamily="34" charset="0"/>
              <a:cs typeface="Calibri" panose="020F0502020204030204" pitchFamily="34" charset="0"/>
            </a:rPr>
            <a:t>Step 4: Pre-treatment</a:t>
          </a:r>
        </a:p>
        <a:p>
          <a:r>
            <a:rPr lang="en-US" sz="1100" baseline="0">
              <a:latin typeface="Calibri" panose="020F0502020204030204" pitchFamily="34" charset="0"/>
              <a:cs typeface="Calibri" panose="020F0502020204030204" pitchFamily="34" charset="0"/>
            </a:rPr>
            <a:t>Step 5-7: Final Storage Volumes</a:t>
          </a:r>
        </a:p>
        <a:p>
          <a:r>
            <a:rPr lang="en-US" sz="1100" baseline="0">
              <a:latin typeface="Calibri" panose="020F0502020204030204" pitchFamily="34" charset="0"/>
              <a:cs typeface="Calibri" panose="020F0502020204030204" pitchFamily="34" charset="0"/>
            </a:rPr>
            <a:t>Step 9: Results</a:t>
          </a:r>
        </a:p>
        <a:p>
          <a:r>
            <a:rPr lang="en-US" sz="1100" baseline="0">
              <a:latin typeface="Calibri" panose="020F0502020204030204" pitchFamily="34" charset="0"/>
              <a:cs typeface="Calibri" panose="020F0502020204030204" pitchFamily="34" charset="0"/>
            </a:rPr>
            <a:t>Note that Steps 3-9 refer to the calculation step listed within the ISWMM Design Manual.</a:t>
          </a:r>
        </a:p>
        <a:p>
          <a:endParaRPr lang="en-US" sz="1100" baseline="0">
            <a:latin typeface="Calibri" panose="020F0502020204030204" pitchFamily="34" charset="0"/>
            <a:cs typeface="Calibri" panose="020F0502020204030204" pitchFamily="34" charset="0"/>
          </a:endParaRPr>
        </a:p>
        <a:p>
          <a:r>
            <a:rPr lang="en-US" sz="900" i="1" baseline="0">
              <a:latin typeface="Calibri" panose="020F0502020204030204" pitchFamily="34" charset="0"/>
              <a:cs typeface="Calibri" panose="020F0502020204030204" pitchFamily="34" charset="0"/>
            </a:rPr>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100" baseline="0">
            <a:latin typeface="Calibri" panose="020F0502020204030204" pitchFamily="34" charset="0"/>
            <a:cs typeface="Calibri" panose="020F0502020204030204" pitchFamily="34" charset="0"/>
          </a:endParaRPr>
        </a:p>
        <a:p>
          <a:r>
            <a:rPr lang="en-US" sz="1100" b="1" u="sng" baseline="0">
              <a:latin typeface="Calibri" panose="020F0502020204030204" pitchFamily="34" charset="0"/>
              <a:cs typeface="Calibri" panose="020F0502020204030204" pitchFamily="34" charset="0"/>
            </a:rPr>
            <a:t>DISCLAIMER:</a:t>
          </a:r>
        </a:p>
        <a:p>
          <a:r>
            <a:rPr lang="en-US" sz="1100" baseline="0">
              <a:latin typeface="Calibri" panose="020F0502020204030204" pitchFamily="34" charset="0"/>
              <a:cs typeface="Calibri" panose="020F0502020204030204" pitchFamily="34" charset="0"/>
            </a:rPr>
            <a:t>This document is intended only to be used for the purposes as described above.  It is expected that designers which use this document are familiar with the Dry or Dry ED Detention Basin chapters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100" baseline="0">
            <a:latin typeface="Calibri" panose="020F0502020204030204" pitchFamily="34" charset="0"/>
            <a:cs typeface="Calibri" panose="020F0502020204030204" pitchFamily="34" charset="0"/>
          </a:endParaRPr>
        </a:p>
        <a:p>
          <a:r>
            <a:rPr lang="en-US" sz="1100" baseline="0">
              <a:latin typeface="Calibri" panose="020F0502020204030204" pitchFamily="34" charset="0"/>
              <a:cs typeface="Calibri" panose="020F0502020204030204" pitchFamily="34" charset="0"/>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19049</xdr:rowOff>
    </xdr:from>
    <xdr:to>
      <xdr:col>16</xdr:col>
      <xdr:colOff>514350</xdr:colOff>
      <xdr:row>26</xdr:row>
      <xdr:rowOff>76200</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49"/>
          <a:ext cx="3676650" cy="335280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CL_1</a:t>
          </a:r>
          <a:r>
            <a:rPr lang="en-US" sz="1000" b="1" u="sng" baseline="0">
              <a:latin typeface="Calibri" panose="020F0502020204030204" pitchFamily="34" charset="0"/>
              <a:cs typeface="Calibri" panose="020F0502020204030204" pitchFamily="34" charset="0"/>
            </a:rPr>
            <a:t> (Screening) Tab</a:t>
          </a:r>
          <a:r>
            <a:rPr lang="en-US" sz="1000" b="1" u="sng">
              <a:latin typeface="Calibri" panose="020F0502020204030204" pitchFamily="34" charset="0"/>
              <a:cs typeface="Calibri" panose="020F0502020204030204" pitchFamily="34" charset="0"/>
            </a:rPr>
            <a:t>:</a:t>
          </a:r>
        </a:p>
        <a:p>
          <a:endParaRPr lang="en-US" sz="10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a:latin typeface="Calibri" panose="020F0502020204030204" pitchFamily="34" charset="0"/>
              <a:cs typeface="Calibri" panose="020F0502020204030204" pitchFamily="34" charset="0"/>
            </a:rPr>
            <a:t>Complete Site Evaluation</a:t>
          </a:r>
          <a:r>
            <a:rPr lang="en-US" sz="1000" baseline="0">
              <a:latin typeface="Calibri" panose="020F0502020204030204" pitchFamily="34" charset="0"/>
              <a:cs typeface="Calibri" panose="020F0502020204030204" pitchFamily="34" charset="0"/>
            </a:rPr>
            <a:t> Criteria and Planning information on this sheet.  Fill in light blue and yellow shaded boxes.</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Tributary area will automatically fill in from data entered on tab DE_1 unless a value is entered in the manual entry space above (if manually entered, the word MANUAL will appear on the checklist).</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For initial planning items and setback requirements, refer to </a:t>
          </a:r>
          <a:r>
            <a:rPr lang="en-US" sz="1000" baseline="0">
              <a:solidFill>
                <a:sysClr val="windowText" lastClr="000000"/>
              </a:solidFill>
              <a:latin typeface="Calibri" panose="020F0502020204030204" pitchFamily="34" charset="0"/>
              <a:cs typeface="Calibri" panose="020F0502020204030204" pitchFamily="34" charset="0"/>
            </a:rPr>
            <a:t>ISWMM Section 9.09-1 or 9.10-1, as applicable, </a:t>
          </a:r>
          <a:r>
            <a:rPr lang="en-US" sz="1000" baseline="0">
              <a:latin typeface="Calibri" panose="020F0502020204030204" pitchFamily="34" charset="0"/>
              <a:cs typeface="Calibri" panose="020F0502020204030204" pitchFamily="34" charset="0"/>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28</xdr:row>
      <xdr:rowOff>9523</xdr:rowOff>
    </xdr:from>
    <xdr:to>
      <xdr:col>14</xdr:col>
      <xdr:colOff>28575</xdr:colOff>
      <xdr:row>60</xdr:row>
      <xdr:rowOff>135107</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701277" y="3914097"/>
          <a:ext cx="3730489" cy="528664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CL_2 (Design Summary) Tab:</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Answer (Y or N) if extended detention is being used to meet CPv requirements (cell F14).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Note the WQv volume treated by other BMPs in the blue hatched box (cell F15). This will affect the required volume of pretreatment calculated in Step 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Dry / Dry ED Detention Basin Metrics information will fill in or calculate automatically as long as subsequent spreadsheet tabs are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pretreatment volume and high water elevation will automatically fill in with data from other tabs, unless a value is entered in the manual entry space above (if manually entered, the word MANUAL will appear on the checklist).</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a:solidFill>
                <a:schemeClr val="dk1"/>
              </a:solidFill>
              <a:effectLst/>
              <a:latin typeface="Calibri" panose="020F0502020204030204" pitchFamily="34" charset="0"/>
              <a:ea typeface="+mn-ea"/>
              <a:cs typeface="Calibri" panose="020F0502020204030204" pitchFamily="34" charset="0"/>
            </a:rPr>
            <a:t>Complete Dry / Dry ED Detention Basin</a:t>
          </a:r>
          <a:r>
            <a:rPr lang="en-US" sz="1050" baseline="0">
              <a:solidFill>
                <a:schemeClr val="dk1"/>
              </a:solidFill>
              <a:effectLst/>
              <a:latin typeface="Calibri" panose="020F0502020204030204" pitchFamily="34" charset="0"/>
              <a:ea typeface="+mn-ea"/>
              <a:cs typeface="Calibri" panose="020F0502020204030204" pitchFamily="34" charset="0"/>
            </a:rPr>
            <a:t> Topography and Other Information on this sheet. Fill in light orange and gray shaded boxes.</a:t>
          </a: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If a "essential" or "target" criteria from ISWMM Section 9.09 or 9.10 (as applicable) is not met a red </a:t>
          </a:r>
          <a:r>
            <a:rPr lang="en-US" sz="1050" baseline="0">
              <a:solidFill>
                <a:srgbClr val="C00000"/>
              </a:solidFill>
              <a:latin typeface="Calibri" panose="020F0502020204030204" pitchFamily="34" charset="0"/>
              <a:cs typeface="Calibri" panose="020F0502020204030204" pitchFamily="34" charset="0"/>
            </a:rPr>
            <a:t>"!"</a:t>
          </a:r>
          <a:r>
            <a:rPr lang="en-US" sz="1050" baseline="0">
              <a:latin typeface="Calibri" panose="020F0502020204030204" pitchFamily="34" charset="0"/>
              <a:cs typeface="Calibri" panose="020F0502020204030204" pitchFamily="34" charset="0"/>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Local jurisdictions or grant funding sources may dictate at what stage in the design process items listed under "other information" need to be provided. </a:t>
          </a:r>
          <a:endParaRPr lang="en-US" sz="1050">
            <a:latin typeface="Calibri" panose="020F0502020204030204" pitchFamily="34" charset="0"/>
            <a:cs typeface="Calibri" panose="020F05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9525</xdr:rowOff>
    </xdr:from>
    <xdr:to>
      <xdr:col>19</xdr:col>
      <xdr:colOff>133350</xdr:colOff>
      <xdr:row>48</xdr:row>
      <xdr:rowOff>19050</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5"/>
          <a:ext cx="3676650" cy="81057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 DE_1 (Watershed Info) Tab:</a:t>
          </a:r>
        </a:p>
        <a:p>
          <a:endParaRPr lang="en-US" sz="105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latin typeface="Calibri" panose="020F0502020204030204" pitchFamily="34" charset="0"/>
              <a:cs typeface="Calibri" panose="020F0502020204030204" pitchFamily="34" charset="0"/>
            </a:rPr>
            <a:t>Complete Watershed Properties (acres of each land use) for the area to be served by the practice in </a:t>
          </a:r>
          <a:r>
            <a:rPr lang="en-US" sz="1050" baseline="0">
              <a:latin typeface="Calibri" panose="020F0502020204030204" pitchFamily="34" charset="0"/>
              <a:cs typeface="Calibri" panose="020F0502020204030204" pitchFamily="34" charset="0"/>
            </a:rPr>
            <a:t>gray shaded boxes.</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baseline="0">
              <a:latin typeface="Calibri" panose="020F0502020204030204" pitchFamily="34" charset="0"/>
              <a:cs typeface="Calibri" panose="020F0502020204030204" pitchFamily="34" charset="0"/>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Refer to ISWMM for guidance on assumptions for open space soil quality (Sections 7.03, 9.09, 9.10 and 3.01). </a:t>
          </a:r>
          <a:r>
            <a:rPr lang="en-US" sz="1050" u="sng" baseline="0">
              <a:latin typeface="Calibri" panose="020F0502020204030204" pitchFamily="34" charset="0"/>
              <a:cs typeface="Calibri" panose="020F0502020204030204" pitchFamily="34" charset="0"/>
            </a:rPr>
            <a:t>Open spaces with less than 4" of SQR will be calculated as 50% impervious for the purposes of calculating WQv.</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Urban land uses should be divided into impervious and open space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"Other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not calculate the WQv volume for "Other areas", unless the box next to the </a:t>
          </a:r>
          <a:r>
            <a:rPr lang="en-US" sz="1050" baseline="0">
              <a:solidFill>
                <a:schemeClr val="dk1"/>
              </a:solidFill>
              <a:latin typeface="Calibri" panose="020F0502020204030204" pitchFamily="34" charset="0"/>
              <a:ea typeface="+mn-ea"/>
              <a:cs typeface="Calibri" panose="020F0502020204030204" pitchFamily="34" charset="0"/>
            </a:rPr>
            <a:t>"Other Areas Counted as Impervious for WQv calculation?" is entered as </a:t>
          </a:r>
          <a:r>
            <a:rPr lang="en-US" sz="1050" b="1" u="sng" baseline="0">
              <a:solidFill>
                <a:schemeClr val="dk1"/>
              </a:solidFill>
              <a:latin typeface="Calibri" panose="020F0502020204030204" pitchFamily="34" charset="0"/>
              <a:ea typeface="+mn-ea"/>
              <a:cs typeface="Calibri" panose="020F0502020204030204" pitchFamily="34" charset="0"/>
            </a:rPr>
            <a:t>"Y"</a:t>
          </a:r>
          <a:r>
            <a:rPr lang="en-US" sz="1050" b="0" u="none" baseline="0">
              <a:solidFill>
                <a:schemeClr val="dk1"/>
              </a:solidFill>
              <a:latin typeface="Calibri" panose="020F0502020204030204" pitchFamily="34" charset="0"/>
              <a:ea typeface="+mn-ea"/>
              <a:cs typeface="Calibri" panose="020F0502020204030204" pitchFamily="34" charset="0"/>
            </a:rPr>
            <a:t> (Cell E26 and E42).</a:t>
          </a:r>
          <a:r>
            <a:rPr lang="en-US" sz="1050" b="0" u="none" baseline="0">
              <a:solidFill>
                <a:schemeClr val="dk1"/>
              </a:solidFill>
              <a:effectLst/>
              <a:latin typeface="Calibri" panose="020F0502020204030204" pitchFamily="34" charset="0"/>
              <a:ea typeface="+mn-ea"/>
              <a:cs typeface="Calibri" panose="020F0502020204030204" pitchFamily="34" charset="0"/>
            </a:rPr>
            <a:t> </a:t>
          </a:r>
          <a:r>
            <a:rPr lang="en-US" sz="1050" baseline="0">
              <a:solidFill>
                <a:schemeClr val="dk1"/>
              </a:solidFill>
              <a:effectLst/>
              <a:latin typeface="Calibri" panose="020F0502020204030204" pitchFamily="34" charset="0"/>
              <a:ea typeface="+mn-ea"/>
              <a:cs typeface="Calibri" panose="020F0502020204030204" pitchFamily="34" charset="0"/>
            </a:rPr>
            <a:t>If </a:t>
          </a:r>
          <a:r>
            <a:rPr lang="en-US" sz="1050" b="1" u="sng" baseline="0">
              <a:solidFill>
                <a:schemeClr val="dk1"/>
              </a:solidFill>
              <a:effectLst/>
              <a:latin typeface="Calibri" panose="020F0502020204030204" pitchFamily="34" charset="0"/>
              <a:ea typeface="+mn-ea"/>
              <a:cs typeface="Calibri" panose="020F0502020204030204" pitchFamily="34" charset="0"/>
            </a:rPr>
            <a:t>"Y"</a:t>
          </a:r>
          <a:r>
            <a:rPr lang="en-US" sz="1050" baseline="0">
              <a:solidFill>
                <a:schemeClr val="dk1"/>
              </a:solidFill>
              <a:effectLst/>
              <a:latin typeface="Calibri" panose="020F0502020204030204" pitchFamily="34" charset="0"/>
              <a:ea typeface="+mn-ea"/>
              <a:cs typeface="Calibri" panose="020F0502020204030204" pitchFamily="34" charset="0"/>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WQv volume for "Other areas" may also be manually entered to the right of either the "Existing" or "Proposed" watershed data entry area, as applicable (provide separate documentation). When used, enter </a:t>
          </a:r>
          <a:r>
            <a:rPr lang="en-US" sz="1050" b="1" u="sng" baseline="0">
              <a:solidFill>
                <a:schemeClr val="dk1"/>
              </a:solidFill>
              <a:effectLst/>
              <a:latin typeface="Calibri" panose="020F0502020204030204" pitchFamily="34" charset="0"/>
              <a:ea typeface="+mn-ea"/>
              <a:cs typeface="Calibri" panose="020F0502020204030204" pitchFamily="34" charset="0"/>
            </a:rPr>
            <a:t>"N"</a:t>
          </a:r>
          <a:r>
            <a:rPr lang="en-US" sz="1050" baseline="0">
              <a:solidFill>
                <a:schemeClr val="dk1"/>
              </a:solidFill>
              <a:effectLst/>
              <a:latin typeface="Calibri" panose="020F0502020204030204" pitchFamily="34" charset="0"/>
              <a:ea typeface="+mn-ea"/>
              <a:cs typeface="Calibri" panose="020F0502020204030204" pitchFamily="34" charset="0"/>
            </a:rPr>
            <a:t> in the  box next to the "Other Areas Counted as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53</xdr:row>
      <xdr:rowOff>104775</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84296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a:t>
          </a:r>
          <a:r>
            <a:rPr lang="en-US" sz="1050" b="1" u="sng" baseline="0">
              <a:latin typeface="Calibri" panose="020F0502020204030204" pitchFamily="34" charset="0"/>
              <a:cs typeface="Calibri" panose="020F0502020204030204" pitchFamily="34" charset="0"/>
            </a:rPr>
            <a:t> Step 3 (Hydrology) Tab</a:t>
          </a:r>
          <a:r>
            <a:rPr lang="en-US" sz="1050" b="1" u="sng">
              <a:latin typeface="Calibri" panose="020F0502020204030204" pitchFamily="34" charset="0"/>
              <a:cs typeface="Calibri" panose="020F0502020204030204" pitchFamily="34" charset="0"/>
            </a:rPr>
            <a:t>:</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the rainfall data used for the model, in the blue fields.</a:t>
          </a:r>
          <a:endParaRPr lang="en-US" sz="10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latin typeface="Calibri" panose="020F0502020204030204" pitchFamily="34" charset="0"/>
              <a:cs typeface="Calibri" panose="020F0502020204030204" pitchFamily="34" charset="0"/>
            </a:rPr>
            <a:t>After a hydrologic</a:t>
          </a:r>
          <a:r>
            <a:rPr lang="en-US" sz="1050" baseline="0">
              <a:latin typeface="Calibri" panose="020F0502020204030204" pitchFamily="34" charset="0"/>
              <a:cs typeface="Calibri" panose="020F0502020204030204" pitchFamily="34" charset="0"/>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After the flow data has been entered, the unit peak discharge value (qu) for the CPv event should calculate automatically. When the practice is intended to provide extended detention of the CPv event, u</a:t>
          </a:r>
          <a:r>
            <a:rPr lang="en-US" sz="1050" baseline="0">
              <a:solidFill>
                <a:sysClr val="windowText" lastClr="000000"/>
              </a:solidFill>
              <a:effectLst/>
              <a:latin typeface="Calibri" panose="020F0502020204030204" pitchFamily="34" charset="0"/>
              <a:ea typeface="+mn-ea"/>
              <a:cs typeface="Calibri" panose="020F0502020204030204" pitchFamily="34" charset="0"/>
            </a:rPr>
            <a:t>se the calculated value of (qu) when referring to the graph of (qu) vs (qo/qi) in the Small Storm Hydrology section of ISWMM to determi</a:t>
          </a:r>
          <a:r>
            <a:rPr lang="en-US" sz="1050" baseline="0">
              <a:solidFill>
                <a:schemeClr val="dk1"/>
              </a:solidFill>
              <a:effectLst/>
              <a:latin typeface="Calibri" panose="020F0502020204030204" pitchFamily="34" charset="0"/>
              <a:ea typeface="+mn-ea"/>
              <a:cs typeface="Calibri" panose="020F0502020204030204" pitchFamily="34" charset="0"/>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Entering the appropriate (qo/qi) ratio in Cell E30 will allow the spreadsheet to solve for the maximum allowable release rate for extended detention (qo).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final routing model will need to demonstrate that the allowable release rate for CPv (Cell E31) is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default outflow rates used for storage estimation for CPv are based on the (qo) for extended detention.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editAs="oneCell">
    <xdr:from>
      <xdr:col>0</xdr:col>
      <xdr:colOff>85724</xdr:colOff>
      <xdr:row>50</xdr:row>
      <xdr:rowOff>66674</xdr:rowOff>
    </xdr:from>
    <xdr:to>
      <xdr:col>8</xdr:col>
      <xdr:colOff>9524</xdr:colOff>
      <xdr:row>75</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581025</xdr:colOff>
      <xdr:row>8</xdr:row>
      <xdr:rowOff>180975</xdr:rowOff>
    </xdr:from>
    <xdr:to>
      <xdr:col>11</xdr:col>
      <xdr:colOff>76200</xdr:colOff>
      <xdr:row>39</xdr:row>
      <xdr:rowOff>66675</xdr:rowOff>
    </xdr:to>
    <xdr:sp macro="" textlink="">
      <xdr:nvSpPr>
        <xdr:cNvPr id="2" name="TextBox 1">
          <a:extLst>
            <a:ext uri="{FF2B5EF4-FFF2-40B4-BE49-F238E27FC236}">
              <a16:creationId xmlns:a16="http://schemas.microsoft.com/office/drawing/2014/main" id="{E0018C69-8D11-4BF6-B271-47E56B6A310A}"/>
            </a:ext>
          </a:extLst>
        </xdr:cNvPr>
        <xdr:cNvSpPr txBox="1"/>
      </xdr:nvSpPr>
      <xdr:spPr>
        <a:xfrm>
          <a:off x="6724650" y="1619250"/>
          <a:ext cx="3676650" cy="56388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a:t>
          </a:r>
          <a:r>
            <a:rPr lang="en-US" sz="1050" b="1" u="sng" baseline="0">
              <a:latin typeface="Calibri" panose="020F0502020204030204" pitchFamily="34" charset="0"/>
              <a:cs typeface="Calibri" panose="020F0502020204030204" pitchFamily="34" charset="0"/>
            </a:rPr>
            <a:t> Step 4 (Pretreatment) Tab</a:t>
          </a:r>
          <a:r>
            <a:rPr lang="en-US" sz="1050" b="1" u="sng">
              <a:latin typeface="Calibri" panose="020F0502020204030204" pitchFamily="34" charset="0"/>
              <a:cs typeface="Calibri" panose="020F0502020204030204" pitchFamily="34" charset="0"/>
            </a:rPr>
            <a:t>:</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required WQv and pretreatment volumes will be calculated by the spreadsheet, based on data entered on previous tabs. The value will adjust if data is entered on Tab CL_2 regarding upstream practices treating WQv volumes. Data may also be entered for WQv or pretreatment in the cells above. (If values are manually entered, the word MANUAL will appear on the checklist). If data is entered manually, provide separate documentation of how these values were calculated.</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the volume of any other pretreatment practices employed beyond the three forebays that would fit on this sheet (Cell B9).  Enter a short description of those practices in the spaces provided, if applicable. Provide separate documentation of how the pretreatment volumes for such practices were calculated.</a:t>
          </a:r>
          <a:endParaRPr lang="en-US" sz="10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5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50">
              <a:latin typeface="Calibri" panose="020F0502020204030204" pitchFamily="34" charset="0"/>
              <a:cs typeface="Calibri" panose="020F0502020204030204" pitchFamily="34" charset="0"/>
            </a:rPr>
            <a:t>For each forebay, enter the normal pool elevation and the stage-storage information.  Data should</a:t>
          </a:r>
          <a:r>
            <a:rPr lang="en-US" sz="1050" baseline="0">
              <a:latin typeface="Calibri" panose="020F0502020204030204" pitchFamily="34" charset="0"/>
              <a:cs typeface="Calibri" panose="020F0502020204030204" pitchFamily="34" charset="0"/>
            </a:rPr>
            <a:t> be entered at increments not exceeding 1.0 feet to the deepest elevation of the forebay (total depth not exceeding 4.0 feet).</a:t>
          </a:r>
        </a:p>
        <a:p>
          <a:pPr marL="171450" indent="-171450">
            <a:buFont typeface="Arial" panose="020B0604020202020204" pitchFamily="34" charset="0"/>
            <a:buChar cha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latin typeface="Calibri" panose="020F0502020204030204" pitchFamily="34" charset="0"/>
              <a:cs typeface="Calibri" panose="020F0502020204030204" pitchFamily="34" charset="0"/>
            </a:rPr>
            <a:t>If data is entered in a cell within the "Depth Below Pool" column, make sure data is entered in the "Contour Area" column within the same row.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calculate the total pretreatment volume provided at the bottom of this sheet.  Forebay storage may also be entered manually in the cell below.  (If a value is manually entered, the word MANUAL will appear on the checklist). If data is entered manually, provide separate documentation of how these values were calculated.</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581024</xdr:colOff>
      <xdr:row>7</xdr:row>
      <xdr:rowOff>142873</xdr:rowOff>
    </xdr:from>
    <xdr:to>
      <xdr:col>16</xdr:col>
      <xdr:colOff>200026</xdr:colOff>
      <xdr:row>26</xdr:row>
      <xdr:rowOff>123825</xdr:rowOff>
    </xdr:to>
    <xdr:sp macro="" textlink="">
      <xdr:nvSpPr>
        <xdr:cNvPr id="2" name="TextBox 1">
          <a:extLst>
            <a:ext uri="{FF2B5EF4-FFF2-40B4-BE49-F238E27FC236}">
              <a16:creationId xmlns:a16="http://schemas.microsoft.com/office/drawing/2014/main" id="{EB877471-C944-4986-8800-E526304141CB}"/>
            </a:ext>
          </a:extLst>
        </xdr:cNvPr>
        <xdr:cNvSpPr txBox="1"/>
      </xdr:nvSpPr>
      <xdr:spPr>
        <a:xfrm>
          <a:off x="7886699" y="1219198"/>
          <a:ext cx="4533902" cy="287655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a:t>
          </a:r>
          <a:r>
            <a:rPr lang="en-US" sz="1100" b="1" u="sng" baseline="0">
              <a:latin typeface="Calibri" panose="020F0502020204030204" pitchFamily="34" charset="0"/>
              <a:cs typeface="Calibri" panose="020F0502020204030204" pitchFamily="34" charset="0"/>
            </a:rPr>
            <a:t> Step 5-7 (Final Storage Volumes)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required WQv and pretreatment volumes will fill in if related cells on Tabs DE_1 and Step 3 are completed.  Data may also be entered manually above.             (If values are manually entered, the word MANUAL will appear on the checklist).          If data is entered manually, provide separate documentation of how these values were calculated.</a:t>
          </a:r>
          <a:endParaRPr lang="en-US" sz="11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 the lowest surface elevation within the basin in cell G5.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Calibri" panose="020F0502020204030204" pitchFamily="34" charset="0"/>
              <a:cs typeface="Calibri" panose="020F0502020204030204" pitchFamily="34" charset="0"/>
            </a:rPr>
            <a:t>Contour area information for "live" storage should be entered in the Temporary Storage table. Enter data at intervals as needed, up to at least the crest of the dam.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spreadsheet will calculate storage volumes and metrics once data is entered. Storage is computed using the average end area method.</a:t>
          </a: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0</xdr:row>
      <xdr:rowOff>9525</xdr:rowOff>
    </xdr:from>
    <xdr:to>
      <xdr:col>14</xdr:col>
      <xdr:colOff>0</xdr:colOff>
      <xdr:row>28</xdr:row>
      <xdr:rowOff>57150</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5"/>
          <a:ext cx="4019550" cy="48006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u="sng">
              <a:latin typeface="Calibri" panose="020F0502020204030204" pitchFamily="34" charset="0"/>
              <a:cs typeface="Calibri" panose="020F0502020204030204" pitchFamily="34" charset="0"/>
            </a:rPr>
            <a:t>User Guidance for</a:t>
          </a:r>
          <a:r>
            <a:rPr lang="en-US" sz="1050" b="1" u="sng" baseline="0">
              <a:latin typeface="Calibri" panose="020F0502020204030204" pitchFamily="34" charset="0"/>
              <a:cs typeface="Calibri" panose="020F0502020204030204" pitchFamily="34" charset="0"/>
            </a:rPr>
            <a:t> Step 9 (Results) Tab</a:t>
          </a:r>
          <a:r>
            <a:rPr lang="en-US" sz="1050" b="1" u="sng">
              <a:latin typeface="Calibri" panose="020F0502020204030204" pitchFamily="34" charset="0"/>
              <a:cs typeface="Calibri" panose="020F0502020204030204" pitchFamily="34" charset="0"/>
            </a:rPr>
            <a:t>:</a:t>
          </a:r>
        </a:p>
        <a:p>
          <a:endParaRPr lang="en-US" sz="10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After a stage-storage-discharge routing model for the detention basin has been created, enter the relevant data from the model output in the tables on this sheet. Entering data here will complete report cells on Tab CL_2.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Data for the CPv event does not need to be entered if extended detention of this event is not a requirement for this practice.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expected peak outflow rates from the practice calculated by the routing model for the various storm events in Cells C14 to C20.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the expected high water elevations within the practice calculated by the routing model for the various storm events in Cells D14 to D20. High water elevation should be based on the same datum used to fill out the lowest surface elevation of the basin in Cell G5 on the Step 5-7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the maximum "live" storage within the basin calculated by the routing model for the various storm events in Cells E14 to E20.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Enter the delay in time between the peak inflow rate to the practice and the peak outflow rate from the practice, based on output data from the routing model in Cells C28 to C34.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5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50" baseline="0">
              <a:solidFill>
                <a:schemeClr val="dk1"/>
              </a:solidFill>
              <a:effectLst/>
              <a:latin typeface="Calibri" panose="020F0502020204030204" pitchFamily="34" charset="0"/>
              <a:ea typeface="+mn-ea"/>
              <a:cs typeface="Calibri" panose="020F0502020204030204" pitchFamily="34" charset="0"/>
            </a:rPr>
            <a:t>The spreadsheet will calculate various metrics based on the data entered. These will quantify the peak volume of water stored, note the delay in peak flows and demonstrate the reduction in flow rates due to the practice.</a:t>
          </a:r>
          <a:endParaRPr lang="en-US" sz="105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pageSetUpPr fitToPage="1"/>
  </sheetPr>
  <dimension ref="A1:K68"/>
  <sheetViews>
    <sheetView tabSelected="1" view="pageBreakPreview" zoomScaleNormal="100" zoomScaleSheetLayoutView="100" workbookViewId="0">
      <selection activeCell="K38" sqref="K38"/>
    </sheetView>
  </sheetViews>
  <sheetFormatPr defaultColWidth="8.85546875" defaultRowHeight="12" x14ac:dyDescent="0.2"/>
  <cols>
    <col min="1" max="3" width="8.85546875" style="10"/>
    <col min="4" max="4" width="10" style="10" customWidth="1"/>
    <col min="5" max="16384" width="8.85546875" style="10"/>
  </cols>
  <sheetData>
    <row r="1" spans="1:10" s="1" customFormat="1" ht="12.75" x14ac:dyDescent="0.2">
      <c r="A1" s="264" t="s">
        <v>262</v>
      </c>
      <c r="B1" s="264"/>
      <c r="C1" s="264"/>
      <c r="D1" s="264"/>
      <c r="E1" s="264"/>
      <c r="F1" s="264"/>
      <c r="G1" s="264"/>
      <c r="H1" s="264"/>
      <c r="I1" s="264"/>
    </row>
    <row r="2" spans="1:10" s="1" customFormat="1" ht="12.75" x14ac:dyDescent="0.2">
      <c r="A2" s="265"/>
      <c r="B2" s="265"/>
      <c r="C2" s="265"/>
      <c r="D2" s="265"/>
      <c r="E2" s="265"/>
      <c r="F2" s="265"/>
      <c r="G2" s="265"/>
      <c r="H2" s="265"/>
      <c r="I2" s="265"/>
    </row>
    <row r="3" spans="1:10" s="5" customFormat="1" x14ac:dyDescent="0.2">
      <c r="A3" s="2"/>
      <c r="B3" s="3"/>
      <c r="C3" s="4"/>
      <c r="D3" s="4"/>
      <c r="E3" s="4"/>
      <c r="F3" s="4"/>
      <c r="G3" s="4"/>
      <c r="H3" s="4"/>
      <c r="I3" s="4"/>
      <c r="J3" s="2"/>
    </row>
    <row r="4" spans="1:10" s="2" customFormat="1" ht="3.6" customHeight="1" x14ac:dyDescent="0.2">
      <c r="B4" s="3"/>
      <c r="C4" s="6"/>
      <c r="D4" s="6"/>
      <c r="E4" s="6"/>
      <c r="F4" s="6"/>
      <c r="G4" s="6"/>
      <c r="H4" s="6"/>
      <c r="I4" s="6"/>
    </row>
    <row r="5" spans="1:10" x14ac:dyDescent="0.2">
      <c r="A5" s="7"/>
      <c r="B5" s="7"/>
      <c r="C5" s="4"/>
      <c r="D5" s="4"/>
      <c r="E5" s="4"/>
      <c r="F5" s="3"/>
      <c r="G5" s="8"/>
      <c r="H5" s="4"/>
      <c r="I5" s="4"/>
      <c r="J5" s="9"/>
    </row>
    <row r="6" spans="1:10" s="9" customFormat="1" ht="3" customHeight="1" x14ac:dyDescent="0.2">
      <c r="A6" s="3"/>
      <c r="B6" s="3"/>
      <c r="C6" s="6"/>
      <c r="D6" s="6"/>
      <c r="E6" s="6"/>
      <c r="F6" s="3"/>
      <c r="G6" s="6"/>
      <c r="H6" s="6"/>
      <c r="I6" s="6"/>
    </row>
    <row r="7" spans="1:10" x14ac:dyDescent="0.2">
      <c r="A7" s="7"/>
      <c r="B7" s="7"/>
      <c r="C7" s="4"/>
      <c r="D7" s="4"/>
      <c r="E7" s="4"/>
      <c r="F7" s="3"/>
      <c r="G7" s="4"/>
      <c r="H7" s="4"/>
      <c r="I7" s="4"/>
      <c r="J7" s="9"/>
    </row>
    <row r="8" spans="1:10" s="9" customFormat="1" ht="3.6" customHeight="1" x14ac:dyDescent="0.2">
      <c r="A8" s="3"/>
      <c r="B8" s="3"/>
      <c r="C8" s="6"/>
      <c r="D8" s="6"/>
      <c r="E8" s="6"/>
      <c r="F8" s="3"/>
      <c r="G8" s="6"/>
      <c r="H8" s="6"/>
      <c r="I8" s="6"/>
    </row>
    <row r="9" spans="1:10" x14ac:dyDescent="0.2">
      <c r="A9" s="7"/>
      <c r="B9" s="7"/>
      <c r="C9" s="7"/>
      <c r="D9" s="7"/>
      <c r="E9" s="7"/>
      <c r="F9" s="7"/>
      <c r="G9" s="7"/>
      <c r="H9" s="7"/>
      <c r="I9" s="7"/>
      <c r="J9" s="7"/>
    </row>
    <row r="10" spans="1:10" ht="3.6" customHeight="1" x14ac:dyDescent="0.2">
      <c r="A10" s="9"/>
      <c r="B10" s="9"/>
      <c r="C10" s="9"/>
      <c r="D10" s="9"/>
      <c r="E10" s="9"/>
      <c r="F10" s="9"/>
      <c r="G10" s="9"/>
      <c r="H10" s="9"/>
      <c r="I10" s="9"/>
      <c r="J10" s="9"/>
    </row>
    <row r="11" spans="1:10" x14ac:dyDescent="0.2">
      <c r="A11" s="11"/>
      <c r="B11" s="9"/>
      <c r="C11" s="9"/>
      <c r="D11" s="9"/>
      <c r="E11" s="9"/>
      <c r="F11" s="9"/>
      <c r="G11" s="9"/>
      <c r="H11" s="9"/>
      <c r="I11" s="9"/>
      <c r="J11" s="9"/>
    </row>
    <row r="12" spans="1:10" x14ac:dyDescent="0.2">
      <c r="A12" s="9"/>
      <c r="B12" s="9"/>
      <c r="C12" s="9"/>
      <c r="D12" s="9"/>
      <c r="E12" s="9"/>
      <c r="F12" s="9"/>
      <c r="G12" s="9"/>
      <c r="H12" s="9"/>
      <c r="I12" s="9"/>
      <c r="J12" s="9"/>
    </row>
    <row r="13" spans="1:10" x14ac:dyDescent="0.2">
      <c r="A13" s="9"/>
      <c r="B13" s="9"/>
      <c r="C13" s="9"/>
      <c r="D13" s="2"/>
      <c r="E13" s="12"/>
      <c r="F13" s="9"/>
      <c r="G13" s="9"/>
      <c r="H13" s="9"/>
      <c r="I13" s="9"/>
      <c r="J13" s="9"/>
    </row>
    <row r="14" spans="1:10" x14ac:dyDescent="0.2">
      <c r="A14" s="9"/>
      <c r="B14" s="9"/>
      <c r="C14" s="9"/>
      <c r="D14" s="9"/>
      <c r="E14" s="12"/>
      <c r="F14" s="9"/>
      <c r="G14" s="9"/>
      <c r="H14" s="9"/>
      <c r="I14" s="9"/>
      <c r="J14" s="9"/>
    </row>
    <row r="15" spans="1:10" s="9" customFormat="1" ht="3.6" customHeight="1" x14ac:dyDescent="0.2">
      <c r="E15" s="12"/>
    </row>
    <row r="16" spans="1:10" x14ac:dyDescent="0.2">
      <c r="A16" s="9"/>
      <c r="B16" s="9"/>
      <c r="C16" s="9"/>
      <c r="D16" s="9"/>
      <c r="E16" s="9"/>
      <c r="F16" s="12"/>
      <c r="G16" s="9"/>
      <c r="H16" s="9"/>
      <c r="I16" s="9"/>
      <c r="J16" s="9"/>
    </row>
    <row r="17" spans="1:10" x14ac:dyDescent="0.2">
      <c r="A17" s="9"/>
      <c r="B17" s="9"/>
      <c r="C17" s="9"/>
      <c r="D17" s="9"/>
      <c r="E17" s="9"/>
      <c r="F17" s="9"/>
      <c r="G17" s="9"/>
      <c r="H17" s="9"/>
      <c r="I17" s="9"/>
      <c r="J17" s="9"/>
    </row>
    <row r="18" spans="1:10" x14ac:dyDescent="0.2">
      <c r="A18" s="9"/>
      <c r="B18" s="9"/>
      <c r="C18" s="9"/>
      <c r="D18" s="2"/>
      <c r="E18" s="12"/>
      <c r="F18" s="2"/>
      <c r="G18" s="12"/>
      <c r="H18" s="13"/>
      <c r="I18" s="13"/>
      <c r="J18" s="9"/>
    </row>
    <row r="19" spans="1:10" x14ac:dyDescent="0.2">
      <c r="A19" s="9"/>
      <c r="B19" s="9"/>
      <c r="C19" s="9"/>
      <c r="D19" s="2"/>
      <c r="E19" s="12"/>
      <c r="F19" s="2"/>
      <c r="G19" s="12"/>
      <c r="H19" s="13"/>
      <c r="I19" s="13"/>
      <c r="J19" s="9"/>
    </row>
    <row r="20" spans="1:10" x14ac:dyDescent="0.2">
      <c r="A20" s="9"/>
      <c r="B20" s="9"/>
      <c r="C20" s="9"/>
      <c r="D20" s="9"/>
      <c r="E20" s="9"/>
      <c r="F20" s="9"/>
      <c r="G20" s="9"/>
      <c r="H20" s="9"/>
      <c r="I20" s="9"/>
      <c r="J20" s="9"/>
    </row>
    <row r="21" spans="1:10" x14ac:dyDescent="0.2">
      <c r="A21" s="9"/>
      <c r="B21" s="9"/>
      <c r="C21" s="9"/>
      <c r="D21" s="9"/>
      <c r="E21" s="9"/>
      <c r="F21" s="9"/>
      <c r="G21" s="9"/>
      <c r="H21" s="9"/>
      <c r="I21" s="9"/>
      <c r="J21" s="9"/>
    </row>
    <row r="22" spans="1:10" x14ac:dyDescent="0.2">
      <c r="A22" s="4"/>
      <c r="B22" s="4"/>
      <c r="C22" s="4"/>
      <c r="D22" s="4"/>
      <c r="E22" s="4"/>
      <c r="F22" s="4"/>
      <c r="G22" s="4"/>
      <c r="H22" s="4"/>
      <c r="I22" s="4"/>
      <c r="J22" s="4"/>
    </row>
    <row r="23" spans="1:10" x14ac:dyDescent="0.2">
      <c r="A23" s="9"/>
      <c r="B23" s="9"/>
      <c r="C23" s="9"/>
      <c r="D23" s="9"/>
      <c r="E23" s="9"/>
      <c r="F23" s="9"/>
      <c r="G23" s="9"/>
      <c r="H23" s="9"/>
      <c r="I23" s="9"/>
      <c r="J23" s="9"/>
    </row>
    <row r="24" spans="1:10" x14ac:dyDescent="0.2">
      <c r="A24" s="9"/>
      <c r="B24" s="9"/>
      <c r="C24" s="9"/>
      <c r="D24" s="2"/>
      <c r="E24" s="12"/>
      <c r="F24" s="9"/>
      <c r="G24" s="2"/>
      <c r="H24" s="12"/>
      <c r="I24" s="9"/>
      <c r="J24" s="9"/>
    </row>
    <row r="25" spans="1:10" x14ac:dyDescent="0.2">
      <c r="A25" s="9"/>
      <c r="B25" s="9"/>
      <c r="C25" s="9"/>
      <c r="D25" s="2"/>
      <c r="E25" s="12"/>
      <c r="F25" s="9"/>
      <c r="G25" s="2"/>
      <c r="H25" s="12"/>
      <c r="I25" s="9"/>
      <c r="J25" s="9"/>
    </row>
    <row r="26" spans="1:10" s="9" customFormat="1" ht="3" customHeight="1" x14ac:dyDescent="0.2">
      <c r="D26" s="2"/>
      <c r="E26" s="12"/>
      <c r="G26" s="2"/>
      <c r="H26" s="12"/>
    </row>
    <row r="27" spans="1:10" x14ac:dyDescent="0.2">
      <c r="A27" s="9"/>
      <c r="B27" s="9"/>
      <c r="C27" s="4"/>
      <c r="D27" s="4"/>
      <c r="E27" s="4"/>
      <c r="F27" s="4"/>
      <c r="G27" s="4"/>
      <c r="H27" s="4"/>
      <c r="I27" s="4"/>
      <c r="J27" s="4"/>
    </row>
    <row r="28" spans="1:10" x14ac:dyDescent="0.2">
      <c r="A28" s="9"/>
      <c r="B28" s="9"/>
      <c r="C28" s="9"/>
      <c r="D28" s="9"/>
      <c r="E28" s="9"/>
      <c r="F28" s="9"/>
      <c r="G28" s="9"/>
      <c r="H28" s="9"/>
      <c r="I28" s="9"/>
      <c r="J28" s="9"/>
    </row>
    <row r="29" spans="1:10" x14ac:dyDescent="0.2">
      <c r="A29" s="9"/>
      <c r="B29" s="9"/>
      <c r="C29" s="12"/>
      <c r="D29" s="9"/>
      <c r="E29" s="9"/>
      <c r="F29" s="9"/>
      <c r="G29" s="9"/>
      <c r="H29" s="9"/>
      <c r="I29" s="9"/>
      <c r="J29" s="9"/>
    </row>
    <row r="30" spans="1:10" x14ac:dyDescent="0.2">
      <c r="A30" s="9"/>
      <c r="B30" s="9"/>
      <c r="C30" s="9"/>
      <c r="D30" s="9"/>
      <c r="E30" s="9"/>
      <c r="F30" s="9"/>
      <c r="G30" s="9"/>
      <c r="H30" s="9"/>
      <c r="I30" s="9"/>
      <c r="J30" s="9"/>
    </row>
    <row r="31" spans="1:10" x14ac:dyDescent="0.2">
      <c r="A31" s="9"/>
      <c r="B31" s="9"/>
      <c r="C31" s="9"/>
      <c r="D31" s="9"/>
      <c r="E31" s="14"/>
      <c r="F31" s="9"/>
      <c r="G31" s="9"/>
      <c r="H31" s="9"/>
      <c r="I31" s="9"/>
      <c r="J31" s="9"/>
    </row>
    <row r="32" spans="1:10" x14ac:dyDescent="0.2">
      <c r="A32" s="9"/>
      <c r="B32" s="9"/>
      <c r="C32" s="9"/>
      <c r="D32" s="9"/>
      <c r="E32" s="9"/>
      <c r="F32" s="9"/>
      <c r="G32" s="9"/>
      <c r="H32" s="9"/>
      <c r="I32" s="9"/>
      <c r="J32" s="9"/>
    </row>
    <row r="33" spans="1:10" x14ac:dyDescent="0.2">
      <c r="A33" s="9"/>
      <c r="B33" s="9"/>
      <c r="C33" s="9"/>
      <c r="D33" s="12"/>
      <c r="E33" s="9"/>
      <c r="F33" s="9"/>
      <c r="G33" s="9"/>
      <c r="H33" s="9"/>
      <c r="I33" s="9"/>
      <c r="J33" s="9"/>
    </row>
    <row r="34" spans="1:10" x14ac:dyDescent="0.2">
      <c r="A34" s="9"/>
      <c r="B34" s="9"/>
      <c r="C34" s="9"/>
      <c r="D34" s="9"/>
      <c r="E34" s="9"/>
      <c r="F34" s="9"/>
      <c r="G34" s="9"/>
      <c r="H34" s="9"/>
      <c r="I34" s="9"/>
      <c r="J34" s="9"/>
    </row>
    <row r="35" spans="1:10" x14ac:dyDescent="0.2">
      <c r="A35" s="9"/>
      <c r="B35" s="9"/>
      <c r="C35" s="9"/>
      <c r="D35" s="9"/>
      <c r="E35" s="12"/>
      <c r="F35" s="9"/>
      <c r="G35" s="9"/>
      <c r="H35" s="9"/>
      <c r="I35" s="9"/>
      <c r="J35" s="9"/>
    </row>
    <row r="36" spans="1:10" x14ac:dyDescent="0.2">
      <c r="A36" s="9"/>
      <c r="B36" s="9"/>
      <c r="C36" s="9"/>
      <c r="D36" s="9"/>
      <c r="E36" s="9"/>
      <c r="F36" s="9"/>
      <c r="G36" s="9"/>
      <c r="H36" s="9"/>
      <c r="I36" s="9"/>
      <c r="J36" s="9"/>
    </row>
    <row r="37" spans="1:10" x14ac:dyDescent="0.2">
      <c r="A37" s="9"/>
      <c r="B37" s="9"/>
      <c r="C37" s="9"/>
      <c r="D37" s="9"/>
      <c r="E37" s="12"/>
      <c r="F37" s="9"/>
      <c r="G37" s="9"/>
      <c r="H37" s="9"/>
      <c r="I37" s="9"/>
      <c r="J37" s="9"/>
    </row>
    <row r="38" spans="1:10" x14ac:dyDescent="0.2">
      <c r="A38" s="9"/>
      <c r="B38" s="9"/>
      <c r="C38" s="9"/>
      <c r="D38" s="9"/>
      <c r="E38" s="12"/>
      <c r="F38" s="9"/>
      <c r="G38" s="9"/>
      <c r="H38" s="9"/>
      <c r="I38" s="9"/>
      <c r="J38" s="9"/>
    </row>
    <row r="39" spans="1:10" s="9" customFormat="1" ht="3.6" customHeight="1" x14ac:dyDescent="0.2">
      <c r="E39" s="12"/>
    </row>
    <row r="40" spans="1:10" x14ac:dyDescent="0.2">
      <c r="A40" s="9"/>
      <c r="B40" s="9"/>
      <c r="C40" s="9"/>
      <c r="D40" s="9"/>
      <c r="E40" s="12"/>
      <c r="F40" s="9"/>
      <c r="G40" s="9"/>
      <c r="H40" s="9"/>
      <c r="I40" s="9"/>
      <c r="J40" s="9"/>
    </row>
    <row r="41" spans="1:10" x14ac:dyDescent="0.2">
      <c r="A41" s="9"/>
      <c r="B41" s="9"/>
      <c r="C41" s="9"/>
      <c r="D41" s="9"/>
      <c r="E41" s="12"/>
      <c r="F41" s="9"/>
      <c r="G41" s="9"/>
      <c r="H41" s="9"/>
      <c r="I41" s="9"/>
      <c r="J41" s="9"/>
    </row>
    <row r="42" spans="1:10" x14ac:dyDescent="0.2">
      <c r="A42" s="9"/>
      <c r="B42" s="9"/>
      <c r="C42" s="9"/>
      <c r="D42" s="9"/>
      <c r="E42" s="9"/>
      <c r="F42" s="9"/>
      <c r="G42" s="9"/>
      <c r="H42" s="9"/>
      <c r="I42" s="9"/>
      <c r="J42" s="9"/>
    </row>
    <row r="43" spans="1:10" x14ac:dyDescent="0.2">
      <c r="A43" s="11"/>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12"/>
      <c r="D45" s="9"/>
      <c r="E45" s="12"/>
      <c r="F45" s="9"/>
      <c r="G45" s="9"/>
      <c r="H45" s="12"/>
      <c r="I45" s="9"/>
      <c r="J45" s="9"/>
    </row>
    <row r="46" spans="1:10" s="9" customFormat="1" ht="3.6" customHeight="1" x14ac:dyDescent="0.2">
      <c r="A46" s="15"/>
      <c r="B46" s="15"/>
      <c r="C46" s="12"/>
      <c r="E46" s="12"/>
      <c r="H46" s="12"/>
    </row>
    <row r="47" spans="1:10" x14ac:dyDescent="0.2">
      <c r="A47" s="15"/>
      <c r="B47" s="15"/>
      <c r="C47" s="12"/>
      <c r="D47" s="9"/>
      <c r="E47" s="4"/>
      <c r="F47" s="4"/>
      <c r="G47" s="4"/>
      <c r="H47" s="4"/>
      <c r="I47" s="4"/>
      <c r="J47" s="4"/>
    </row>
    <row r="48" spans="1:10" x14ac:dyDescent="0.2">
      <c r="A48" s="9"/>
      <c r="B48" s="9"/>
      <c r="C48" s="9"/>
      <c r="D48" s="9"/>
      <c r="E48" s="9"/>
      <c r="F48" s="9"/>
      <c r="G48" s="9"/>
      <c r="H48" s="9"/>
      <c r="I48" s="9"/>
      <c r="J48" s="9"/>
    </row>
    <row r="49" spans="1:11" x14ac:dyDescent="0.2">
      <c r="A49" s="9"/>
      <c r="B49" s="9"/>
      <c r="C49" s="9"/>
      <c r="D49" s="9"/>
      <c r="E49" s="9"/>
      <c r="F49" s="9"/>
      <c r="G49" s="9"/>
      <c r="H49" s="9"/>
      <c r="I49" s="9"/>
      <c r="J49" s="9"/>
    </row>
    <row r="50" spans="1:11" x14ac:dyDescent="0.2">
      <c r="A50" s="9"/>
      <c r="B50" s="9"/>
      <c r="C50" s="9"/>
      <c r="D50" s="9"/>
      <c r="E50" s="9"/>
      <c r="F50" s="9"/>
      <c r="G50" s="9"/>
      <c r="H50" s="9"/>
      <c r="I50" s="9"/>
      <c r="J50" s="9"/>
    </row>
    <row r="51" spans="1:11" x14ac:dyDescent="0.2">
      <c r="A51" s="9"/>
      <c r="B51" s="9"/>
      <c r="C51" s="12"/>
      <c r="D51" s="9"/>
      <c r="E51" s="9"/>
      <c r="F51" s="9"/>
      <c r="G51" s="9"/>
      <c r="H51" s="9"/>
      <c r="I51" s="9"/>
      <c r="J51" s="9"/>
    </row>
    <row r="52" spans="1:11" x14ac:dyDescent="0.2">
      <c r="A52" s="9"/>
      <c r="B52" s="9"/>
      <c r="C52" s="12"/>
      <c r="D52" s="2"/>
      <c r="E52" s="4"/>
      <c r="F52" s="4"/>
      <c r="G52" s="4"/>
      <c r="H52" s="4"/>
      <c r="I52" s="4"/>
      <c r="J52" s="4"/>
    </row>
    <row r="53" spans="1:11" x14ac:dyDescent="0.2">
      <c r="A53" s="9"/>
      <c r="B53" s="9"/>
      <c r="C53" s="12"/>
      <c r="D53" s="9"/>
      <c r="E53" s="9"/>
      <c r="F53" s="9"/>
      <c r="G53" s="9"/>
      <c r="H53" s="9"/>
      <c r="I53" s="9"/>
      <c r="J53" s="9"/>
    </row>
    <row r="54" spans="1:11" x14ac:dyDescent="0.2">
      <c r="A54" s="9"/>
      <c r="B54" s="9"/>
      <c r="C54" s="12"/>
      <c r="D54" s="2"/>
      <c r="E54" s="12"/>
      <c r="F54" s="9"/>
      <c r="G54" s="9"/>
      <c r="H54" s="9"/>
      <c r="I54" s="9"/>
      <c r="J54" s="9"/>
    </row>
    <row r="55" spans="1:11" x14ac:dyDescent="0.2">
      <c r="A55" s="9"/>
      <c r="B55" s="9"/>
      <c r="C55" s="12"/>
      <c r="D55" s="9"/>
      <c r="E55" s="9"/>
      <c r="F55" s="9"/>
      <c r="G55" s="9"/>
      <c r="H55" s="9"/>
      <c r="I55" s="9"/>
      <c r="J55" s="9"/>
    </row>
    <row r="56" spans="1:11" ht="12.75" thickBot="1" x14ac:dyDescent="0.25">
      <c r="A56" s="9"/>
      <c r="B56" s="9"/>
      <c r="C56" s="12"/>
      <c r="D56" s="9"/>
      <c r="E56" s="9"/>
      <c r="F56" s="9"/>
      <c r="G56" s="9"/>
      <c r="H56" s="9"/>
      <c r="I56" s="9"/>
      <c r="J56" s="9"/>
    </row>
    <row r="57" spans="1:11" ht="15" x14ac:dyDescent="0.25">
      <c r="A57" s="266" t="s">
        <v>263</v>
      </c>
      <c r="B57" s="266"/>
      <c r="C57" s="266"/>
      <c r="D57" s="266"/>
      <c r="E57" s="266"/>
      <c r="F57" s="266"/>
      <c r="G57" s="266"/>
      <c r="H57" s="266"/>
      <c r="I57" s="266"/>
      <c r="J57" s="266"/>
    </row>
    <row r="58" spans="1:11" ht="15" x14ac:dyDescent="0.25">
      <c r="A58" s="267" t="s">
        <v>284</v>
      </c>
      <c r="B58" s="267"/>
      <c r="C58" s="267"/>
      <c r="D58" s="267"/>
      <c r="E58" s="267"/>
      <c r="F58" s="267"/>
      <c r="G58" s="267"/>
      <c r="H58" s="267"/>
      <c r="I58" s="267"/>
      <c r="J58" s="267"/>
    </row>
    <row r="59" spans="1:11" x14ac:dyDescent="0.2">
      <c r="A59" s="9"/>
      <c r="B59" s="9"/>
      <c r="C59" s="9"/>
      <c r="D59" s="9"/>
      <c r="E59" s="9"/>
      <c r="F59" s="9"/>
      <c r="G59" s="9"/>
      <c r="H59" s="9"/>
      <c r="I59" s="9"/>
      <c r="J59" s="9"/>
    </row>
    <row r="60" spans="1:11" x14ac:dyDescent="0.2">
      <c r="A60" s="9"/>
      <c r="B60" s="9"/>
      <c r="C60" s="9"/>
      <c r="D60" s="9"/>
      <c r="E60" s="9"/>
      <c r="F60" s="16"/>
      <c r="G60" s="16"/>
      <c r="H60" s="16"/>
      <c r="I60" s="16"/>
      <c r="J60" s="16"/>
      <c r="K60" s="17"/>
    </row>
    <row r="61" spans="1:11" x14ac:dyDescent="0.2">
      <c r="A61" s="9"/>
      <c r="B61" s="9"/>
      <c r="C61" s="9"/>
      <c r="D61" s="9"/>
      <c r="E61" s="9"/>
      <c r="F61" s="16"/>
      <c r="G61" s="16"/>
      <c r="H61" s="16"/>
      <c r="I61" s="16"/>
      <c r="J61" s="16"/>
      <c r="K61" s="17"/>
    </row>
    <row r="62" spans="1:11" x14ac:dyDescent="0.2">
      <c r="A62" s="9"/>
      <c r="B62" s="9"/>
      <c r="C62" s="9"/>
      <c r="D62" s="9"/>
      <c r="E62" s="9"/>
      <c r="F62" s="9"/>
      <c r="G62" s="9"/>
      <c r="H62" s="9"/>
      <c r="I62" s="9"/>
      <c r="J62" s="9"/>
    </row>
    <row r="63" spans="1:11" x14ac:dyDescent="0.2">
      <c r="A63" s="9"/>
      <c r="B63" s="9"/>
      <c r="C63" s="9"/>
      <c r="D63" s="9"/>
      <c r="E63" s="12"/>
      <c r="F63" s="9"/>
      <c r="G63" s="9"/>
      <c r="H63" s="9"/>
      <c r="I63" s="9"/>
      <c r="J63" s="9"/>
    </row>
    <row r="64" spans="1:11" x14ac:dyDescent="0.2">
      <c r="A64" s="9"/>
      <c r="B64" s="9"/>
      <c r="C64" s="9"/>
      <c r="D64" s="9"/>
      <c r="E64" s="12"/>
      <c r="F64" s="9"/>
      <c r="G64" s="9"/>
      <c r="H64" s="9"/>
      <c r="I64" s="9"/>
      <c r="J64" s="9"/>
    </row>
    <row r="65" spans="1:10" x14ac:dyDescent="0.2">
      <c r="A65" s="9"/>
      <c r="B65" s="9"/>
      <c r="C65" s="9"/>
      <c r="D65" s="9"/>
      <c r="E65" s="12"/>
      <c r="F65" s="9"/>
      <c r="G65" s="9"/>
      <c r="H65" s="9"/>
      <c r="I65" s="9"/>
      <c r="J65" s="9"/>
    </row>
    <row r="66" spans="1:10" x14ac:dyDescent="0.2">
      <c r="A66" s="9"/>
      <c r="B66" s="9"/>
      <c r="C66" s="9"/>
      <c r="D66" s="9"/>
      <c r="E66" s="12"/>
      <c r="F66" s="9"/>
      <c r="G66" s="9"/>
      <c r="H66" s="9"/>
      <c r="I66" s="9"/>
      <c r="J66" s="9"/>
    </row>
    <row r="67" spans="1:10" x14ac:dyDescent="0.2">
      <c r="A67" s="9"/>
      <c r="B67" s="9"/>
      <c r="C67" s="9"/>
      <c r="D67" s="9"/>
      <c r="E67" s="12"/>
      <c r="F67" s="9"/>
      <c r="G67" s="9"/>
      <c r="H67" s="9"/>
      <c r="I67" s="9"/>
      <c r="J67" s="9"/>
    </row>
    <row r="68" spans="1:10" x14ac:dyDescent="0.2">
      <c r="A68" s="9"/>
      <c r="B68" s="9"/>
      <c r="C68" s="9"/>
      <c r="D68" s="9"/>
      <c r="E68" s="12"/>
      <c r="F68" s="9"/>
      <c r="G68" s="9"/>
      <c r="H68" s="9"/>
      <c r="I68" s="9"/>
      <c r="J68" s="9"/>
    </row>
  </sheetData>
  <sheetProtection algorithmName="SHA-512" hashValue="2+Z5YeXUPeKKbKM/SNcATwRKuvDsggUBDNNlT7Zj9CzsdW8NwYDLVb1BwKmnxjag8cu0VOH5u2W3iz0YHjPwJw==" saltValue="E6bBFSJMh6JMp1RHNVuHfw==" spinCount="100000" sheet="1" selectLockedCells="1" selectUnlockedCells="1"/>
  <mergeCells count="4">
    <mergeCell ref="A1:I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M70"/>
  <sheetViews>
    <sheetView view="pageBreakPreview" zoomScaleNormal="100" zoomScaleSheetLayoutView="100" workbookViewId="0">
      <selection activeCell="E31" sqref="E31"/>
    </sheetView>
  </sheetViews>
  <sheetFormatPr defaultColWidth="8.85546875" defaultRowHeight="12" x14ac:dyDescent="0.2"/>
  <cols>
    <col min="1" max="3" width="8.85546875" style="27"/>
    <col min="4" max="4" width="10" style="27" customWidth="1"/>
    <col min="5" max="11" width="8.85546875" style="27"/>
    <col min="12" max="12" width="12" style="22" customWidth="1"/>
    <col min="13" max="16384" width="8.85546875" style="27"/>
  </cols>
  <sheetData>
    <row r="1" spans="1:12" s="18" customFormat="1" ht="12.75" x14ac:dyDescent="0.2">
      <c r="A1" s="275" t="str">
        <f>DISCLAIMER!A1</f>
        <v>Design Review Checklist for Dry or Dry ED Detention Ponds</v>
      </c>
      <c r="B1" s="275"/>
      <c r="C1" s="275"/>
      <c r="D1" s="275"/>
      <c r="E1" s="275"/>
      <c r="F1" s="275"/>
      <c r="G1" s="275"/>
      <c r="H1" s="275"/>
      <c r="I1" s="275"/>
      <c r="L1" s="19"/>
    </row>
    <row r="2" spans="1:12" s="18" customFormat="1" ht="12.75" x14ac:dyDescent="0.2">
      <c r="A2" s="277" t="s">
        <v>157</v>
      </c>
      <c r="B2" s="277"/>
      <c r="C2" s="277"/>
      <c r="D2" s="277"/>
      <c r="E2" s="277"/>
      <c r="F2" s="277"/>
      <c r="G2" s="277"/>
      <c r="H2" s="277"/>
      <c r="I2" s="277"/>
      <c r="L2" s="19"/>
    </row>
    <row r="3" spans="1:12" s="20" customFormat="1" x14ac:dyDescent="0.2">
      <c r="B3" s="21" t="s">
        <v>147</v>
      </c>
      <c r="C3" s="269"/>
      <c r="D3" s="269"/>
      <c r="E3" s="269"/>
      <c r="F3" s="269"/>
      <c r="G3" s="269"/>
      <c r="H3" s="269"/>
      <c r="I3" s="269"/>
      <c r="L3" s="22"/>
    </row>
    <row r="4" spans="1:12" s="23" customFormat="1" ht="3.6" customHeight="1" x14ac:dyDescent="0.2">
      <c r="B4" s="24"/>
      <c r="C4" s="25"/>
      <c r="D4" s="25"/>
      <c r="E4" s="25"/>
      <c r="F4" s="25"/>
      <c r="G4" s="25"/>
      <c r="H4" s="25"/>
      <c r="I4" s="25"/>
      <c r="L4" s="26"/>
    </row>
    <row r="5" spans="1:12" x14ac:dyDescent="0.2">
      <c r="A5" s="271" t="s">
        <v>96</v>
      </c>
      <c r="B5" s="271"/>
      <c r="C5" s="269"/>
      <c r="D5" s="269"/>
      <c r="E5" s="269"/>
      <c r="F5" s="21" t="s">
        <v>98</v>
      </c>
      <c r="G5" s="276">
        <f ca="1">TODAY()</f>
        <v>44608</v>
      </c>
      <c r="H5" s="269"/>
      <c r="I5" s="269"/>
    </row>
    <row r="6" spans="1:12" s="28" customFormat="1" ht="3" customHeight="1" x14ac:dyDescent="0.2">
      <c r="A6" s="24"/>
      <c r="B6" s="24"/>
      <c r="C6" s="25"/>
      <c r="D6" s="25"/>
      <c r="E6" s="25"/>
      <c r="F6" s="24"/>
      <c r="G6" s="25"/>
      <c r="H6" s="25"/>
      <c r="I6" s="25"/>
      <c r="L6" s="26"/>
    </row>
    <row r="7" spans="1:12" x14ac:dyDescent="0.2">
      <c r="A7" s="271" t="s">
        <v>97</v>
      </c>
      <c r="B7" s="271"/>
      <c r="C7" s="269"/>
      <c r="D7" s="269"/>
      <c r="E7" s="269"/>
      <c r="F7" s="21" t="s">
        <v>99</v>
      </c>
      <c r="G7" s="269"/>
      <c r="H7" s="269"/>
      <c r="I7" s="269"/>
    </row>
    <row r="8" spans="1:12" s="28" customFormat="1" ht="3.6" customHeight="1" x14ac:dyDescent="0.2">
      <c r="A8" s="24"/>
      <c r="B8" s="24"/>
      <c r="C8" s="25"/>
      <c r="D8" s="25"/>
      <c r="E8" s="25"/>
      <c r="F8" s="24"/>
      <c r="G8" s="25"/>
      <c r="H8" s="25"/>
      <c r="I8" s="25"/>
      <c r="L8" s="26"/>
    </row>
    <row r="9" spans="1:12" x14ac:dyDescent="0.2">
      <c r="A9" s="273" t="s">
        <v>287</v>
      </c>
      <c r="B9" s="273"/>
      <c r="C9" s="273"/>
      <c r="D9" s="273"/>
      <c r="E9" s="273"/>
      <c r="F9" s="273"/>
      <c r="G9" s="273"/>
      <c r="H9" s="273"/>
      <c r="I9" s="273"/>
      <c r="J9" s="273"/>
    </row>
    <row r="10" spans="1:12" ht="3.6" customHeight="1" x14ac:dyDescent="0.2"/>
    <row r="11" spans="1:12" x14ac:dyDescent="0.2">
      <c r="A11" s="29" t="s">
        <v>35</v>
      </c>
      <c r="B11" s="30"/>
      <c r="C11" s="30"/>
      <c r="D11" s="30"/>
      <c r="E11" s="30"/>
      <c r="F11" s="30"/>
      <c r="G11" s="30"/>
      <c r="H11" s="30"/>
      <c r="I11" s="30"/>
      <c r="J11" s="30"/>
    </row>
    <row r="13" spans="1:12" x14ac:dyDescent="0.2">
      <c r="A13" s="27" t="s">
        <v>12</v>
      </c>
      <c r="D13" s="20" t="s">
        <v>13</v>
      </c>
      <c r="E13" s="31"/>
      <c r="F13" s="27" t="s">
        <v>14</v>
      </c>
    </row>
    <row r="14" spans="1:12" x14ac:dyDescent="0.2">
      <c r="E14" s="31"/>
      <c r="F14" s="27" t="s">
        <v>15</v>
      </c>
    </row>
    <row r="15" spans="1:12" s="28" customFormat="1" ht="3.6" customHeight="1" x14ac:dyDescent="0.2">
      <c r="E15" s="26"/>
      <c r="L15" s="26"/>
    </row>
    <row r="16" spans="1:12" x14ac:dyDescent="0.2">
      <c r="F16" s="31"/>
      <c r="G16" s="27" t="s">
        <v>155</v>
      </c>
    </row>
    <row r="18" spans="1:13" x14ac:dyDescent="0.2">
      <c r="A18" s="27" t="s">
        <v>251</v>
      </c>
      <c r="D18" s="20" t="s">
        <v>17</v>
      </c>
      <c r="E18" s="31"/>
      <c r="F18" s="20" t="s">
        <v>19</v>
      </c>
      <c r="G18" s="31"/>
      <c r="H18" s="32"/>
      <c r="I18" s="32"/>
    </row>
    <row r="19" spans="1:13" x14ac:dyDescent="0.2">
      <c r="A19" s="27" t="s">
        <v>204</v>
      </c>
      <c r="D19" s="20" t="s">
        <v>18</v>
      </c>
      <c r="E19" s="31"/>
      <c r="F19" s="20" t="s">
        <v>20</v>
      </c>
      <c r="G19" s="31"/>
      <c r="H19" s="32"/>
      <c r="I19" s="32"/>
    </row>
    <row r="21" spans="1:13" x14ac:dyDescent="0.2">
      <c r="A21" s="27" t="s">
        <v>21</v>
      </c>
    </row>
    <row r="22" spans="1:13" x14ac:dyDescent="0.2">
      <c r="A22" s="270"/>
      <c r="B22" s="270"/>
      <c r="C22" s="270"/>
      <c r="D22" s="270"/>
      <c r="E22" s="270"/>
      <c r="F22" s="270"/>
      <c r="G22" s="270"/>
      <c r="H22" s="270"/>
      <c r="I22" s="270"/>
      <c r="J22" s="270"/>
    </row>
    <row r="24" spans="1:13" x14ac:dyDescent="0.2">
      <c r="A24" s="27" t="s">
        <v>22</v>
      </c>
      <c r="D24" s="20" t="s">
        <v>23</v>
      </c>
      <c r="E24" s="31"/>
      <c r="G24" s="20" t="s">
        <v>24</v>
      </c>
      <c r="H24" s="31"/>
    </row>
    <row r="25" spans="1:13" x14ac:dyDescent="0.2">
      <c r="A25" s="27" t="s">
        <v>204</v>
      </c>
      <c r="D25" s="20" t="s">
        <v>25</v>
      </c>
      <c r="E25" s="31"/>
      <c r="G25" s="20" t="s">
        <v>26</v>
      </c>
      <c r="H25" s="31"/>
    </row>
    <row r="26" spans="1:13" s="28" customFormat="1" ht="3" customHeight="1" x14ac:dyDescent="0.2">
      <c r="D26" s="23"/>
      <c r="E26" s="26"/>
      <c r="G26" s="23"/>
      <c r="H26" s="26"/>
      <c r="L26" s="26"/>
    </row>
    <row r="27" spans="1:13" x14ac:dyDescent="0.2">
      <c r="A27" s="27" t="s">
        <v>86</v>
      </c>
      <c r="C27" s="270"/>
      <c r="D27" s="270"/>
      <c r="E27" s="270"/>
      <c r="F27" s="270"/>
      <c r="G27" s="270"/>
      <c r="H27" s="270"/>
      <c r="I27" s="270"/>
      <c r="J27" s="270"/>
    </row>
    <row r="28" spans="1:13" x14ac:dyDescent="0.2">
      <c r="L28" s="33" t="s">
        <v>203</v>
      </c>
    </row>
    <row r="29" spans="1:13" x14ac:dyDescent="0.2">
      <c r="A29" s="27" t="s">
        <v>27</v>
      </c>
      <c r="C29" s="26">
        <f>IF(L29=0,'DE_1 - Watershed Info'!C44,L29)</f>
        <v>1</v>
      </c>
      <c r="D29" s="27" t="s">
        <v>28</v>
      </c>
      <c r="E29" s="34" t="str">
        <f>IF(L29&gt;0,"MANUAL"," ")</f>
        <v xml:space="preserve"> </v>
      </c>
      <c r="L29" s="35"/>
      <c r="M29" s="27" t="s">
        <v>206</v>
      </c>
    </row>
    <row r="31" spans="1:13" x14ac:dyDescent="0.2">
      <c r="A31" s="27" t="s">
        <v>32</v>
      </c>
      <c r="E31" s="36"/>
      <c r="F31" s="27" t="s">
        <v>29</v>
      </c>
      <c r="G31" s="27" t="str">
        <f>IF(L5&gt;0,"MANUAL"," ")</f>
        <v xml:space="preserve"> </v>
      </c>
    </row>
    <row r="33" spans="1:12" x14ac:dyDescent="0.2">
      <c r="A33" s="27" t="s">
        <v>30</v>
      </c>
      <c r="D33" s="31"/>
      <c r="E33" s="27" t="s">
        <v>31</v>
      </c>
    </row>
    <row r="35" spans="1:12" x14ac:dyDescent="0.2">
      <c r="A35" s="27" t="s">
        <v>33</v>
      </c>
      <c r="E35" s="31"/>
      <c r="F35" s="27" t="s">
        <v>34</v>
      </c>
    </row>
    <row r="37" spans="1:12" x14ac:dyDescent="0.2">
      <c r="A37" s="27" t="s">
        <v>57</v>
      </c>
      <c r="E37" s="31"/>
      <c r="F37" s="27" t="s">
        <v>34</v>
      </c>
    </row>
    <row r="38" spans="1:12" x14ac:dyDescent="0.2">
      <c r="A38" s="27" t="s">
        <v>154</v>
      </c>
      <c r="E38" s="31"/>
      <c r="F38" s="27" t="s">
        <v>34</v>
      </c>
    </row>
    <row r="39" spans="1:12" s="28" customFormat="1" ht="3.6" customHeight="1" x14ac:dyDescent="0.2">
      <c r="E39" s="26"/>
      <c r="L39" s="26"/>
    </row>
    <row r="40" spans="1:12" x14ac:dyDescent="0.2">
      <c r="A40" s="27" t="s">
        <v>178</v>
      </c>
      <c r="E40" s="31"/>
      <c r="F40" s="27" t="s">
        <v>34</v>
      </c>
    </row>
    <row r="41" spans="1:12" x14ac:dyDescent="0.2">
      <c r="A41" s="27" t="s">
        <v>179</v>
      </c>
      <c r="E41" s="31"/>
      <c r="F41" s="27" t="s">
        <v>34</v>
      </c>
    </row>
    <row r="43" spans="1:12" x14ac:dyDescent="0.2">
      <c r="A43" s="37" t="s">
        <v>252</v>
      </c>
      <c r="B43" s="38"/>
      <c r="C43" s="38"/>
      <c r="D43" s="38"/>
      <c r="E43" s="38"/>
      <c r="F43" s="38"/>
      <c r="G43" s="38"/>
      <c r="H43" s="38"/>
      <c r="I43" s="38"/>
      <c r="J43" s="38"/>
    </row>
    <row r="45" spans="1:12" x14ac:dyDescent="0.2">
      <c r="A45" s="27" t="s">
        <v>36</v>
      </c>
      <c r="C45" s="39"/>
      <c r="D45" s="27" t="s">
        <v>37</v>
      </c>
      <c r="E45" s="39"/>
      <c r="F45" s="27" t="s">
        <v>38</v>
      </c>
      <c r="H45" s="39"/>
      <c r="I45" s="27" t="s">
        <v>39</v>
      </c>
    </row>
    <row r="46" spans="1:12" s="28" customFormat="1" ht="3.6" customHeight="1" x14ac:dyDescent="0.2">
      <c r="A46" s="274" t="s">
        <v>204</v>
      </c>
      <c r="B46" s="274"/>
      <c r="C46" s="26"/>
      <c r="E46" s="26"/>
      <c r="H46" s="26"/>
      <c r="L46" s="26"/>
    </row>
    <row r="47" spans="1:12" x14ac:dyDescent="0.2">
      <c r="A47" s="274"/>
      <c r="B47" s="274"/>
      <c r="C47" s="39"/>
      <c r="D47" s="27" t="s">
        <v>26</v>
      </c>
      <c r="E47" s="272"/>
      <c r="F47" s="272"/>
      <c r="G47" s="272"/>
      <c r="H47" s="272"/>
      <c r="I47" s="272"/>
      <c r="J47" s="272"/>
    </row>
    <row r="48" spans="1:12" x14ac:dyDescent="0.2">
      <c r="A48" s="274"/>
      <c r="B48" s="274"/>
    </row>
    <row r="49" spans="1:11" x14ac:dyDescent="0.2">
      <c r="C49" s="22" t="s">
        <v>156</v>
      </c>
    </row>
    <row r="50" spans="1:11" x14ac:dyDescent="0.2">
      <c r="A50" s="28" t="s">
        <v>256</v>
      </c>
      <c r="C50" s="39"/>
    </row>
    <row r="51" spans="1:11" x14ac:dyDescent="0.2">
      <c r="A51" s="28" t="s">
        <v>274</v>
      </c>
      <c r="C51" s="39"/>
      <c r="D51" s="27" t="s">
        <v>275</v>
      </c>
      <c r="E51" s="39"/>
      <c r="F51" s="27" t="s">
        <v>276</v>
      </c>
      <c r="G51" s="39"/>
      <c r="H51" s="27" t="s">
        <v>277</v>
      </c>
    </row>
    <row r="52" spans="1:11" x14ac:dyDescent="0.2">
      <c r="A52" s="28" t="s">
        <v>271</v>
      </c>
      <c r="C52" s="39"/>
    </row>
    <row r="53" spans="1:11" x14ac:dyDescent="0.2">
      <c r="A53" s="27" t="s">
        <v>40</v>
      </c>
      <c r="C53" s="39"/>
    </row>
    <row r="54" spans="1:11" x14ac:dyDescent="0.2">
      <c r="A54" s="27" t="s">
        <v>41</v>
      </c>
      <c r="C54" s="39"/>
    </row>
    <row r="55" spans="1:11" x14ac:dyDescent="0.2">
      <c r="A55" s="27" t="s">
        <v>269</v>
      </c>
      <c r="C55" s="39"/>
    </row>
    <row r="56" spans="1:11" x14ac:dyDescent="0.2">
      <c r="A56" s="27" t="s">
        <v>42</v>
      </c>
      <c r="C56" s="39"/>
    </row>
    <row r="58" spans="1:11" x14ac:dyDescent="0.2">
      <c r="A58" s="27" t="s">
        <v>205</v>
      </c>
      <c r="D58" s="272"/>
      <c r="E58" s="272"/>
      <c r="F58" s="272"/>
      <c r="G58" s="272"/>
      <c r="H58" s="272"/>
      <c r="I58" s="272"/>
      <c r="J58" s="272"/>
    </row>
    <row r="59" spans="1:11" x14ac:dyDescent="0.2">
      <c r="A59" s="27" t="s">
        <v>199</v>
      </c>
      <c r="F59" s="268"/>
      <c r="G59" s="268"/>
      <c r="H59" s="268"/>
      <c r="I59" s="268"/>
      <c r="J59" s="268"/>
      <c r="K59" s="40"/>
    </row>
    <row r="60" spans="1:11" x14ac:dyDescent="0.2">
      <c r="F60" s="268"/>
      <c r="G60" s="268"/>
      <c r="H60" s="268"/>
      <c r="I60" s="268"/>
      <c r="J60" s="268"/>
      <c r="K60" s="40"/>
    </row>
    <row r="62" spans="1:11" x14ac:dyDescent="0.2">
      <c r="A62" s="27" t="s">
        <v>43</v>
      </c>
      <c r="C62" s="27" t="s">
        <v>44</v>
      </c>
      <c r="E62" s="39"/>
      <c r="F62" s="27" t="s">
        <v>46</v>
      </c>
    </row>
    <row r="63" spans="1:11" x14ac:dyDescent="0.2">
      <c r="C63" s="27" t="s">
        <v>45</v>
      </c>
      <c r="E63" s="39"/>
      <c r="F63" s="27" t="s">
        <v>50</v>
      </c>
    </row>
    <row r="64" spans="1:11" x14ac:dyDescent="0.2">
      <c r="C64" s="27" t="s">
        <v>47</v>
      </c>
      <c r="E64" s="39"/>
      <c r="F64" s="27" t="s">
        <v>51</v>
      </c>
    </row>
    <row r="65" spans="1:10" x14ac:dyDescent="0.2">
      <c r="C65" s="27" t="s">
        <v>48</v>
      </c>
      <c r="E65" s="39"/>
      <c r="F65" s="27" t="s">
        <v>49</v>
      </c>
    </row>
    <row r="66" spans="1:10" x14ac:dyDescent="0.2">
      <c r="C66" s="27" t="s">
        <v>52</v>
      </c>
      <c r="E66" s="39"/>
      <c r="F66" s="27" t="s">
        <v>53</v>
      </c>
    </row>
    <row r="67" spans="1:10" x14ac:dyDescent="0.2">
      <c r="C67" s="27" t="s">
        <v>54</v>
      </c>
      <c r="E67" s="39"/>
      <c r="F67" s="27" t="s">
        <v>56</v>
      </c>
    </row>
    <row r="68" spans="1:10" ht="12.75" thickBot="1" x14ac:dyDescent="0.25"/>
    <row r="69" spans="1:10" ht="15" x14ac:dyDescent="0.25">
      <c r="A69" s="41" t="s">
        <v>234</v>
      </c>
      <c r="B69" s="41"/>
      <c r="C69" s="41"/>
      <c r="D69" s="41"/>
      <c r="E69" s="41"/>
      <c r="F69" s="41"/>
      <c r="G69" s="41"/>
      <c r="H69" s="41"/>
      <c r="I69" s="41"/>
      <c r="J69" s="41"/>
    </row>
    <row r="70" spans="1:10" ht="15" x14ac:dyDescent="0.25">
      <c r="A70" s="42" t="s">
        <v>235</v>
      </c>
      <c r="B70" s="42"/>
      <c r="C70" s="42"/>
      <c r="D70" s="42"/>
      <c r="E70" s="42"/>
      <c r="F70" s="42"/>
      <c r="G70" s="42"/>
      <c r="H70" s="42"/>
      <c r="I70" s="42"/>
      <c r="J70" s="43" t="s">
        <v>285</v>
      </c>
    </row>
  </sheetData>
  <sheetProtection algorithmName="SHA-512" hashValue="WaaQ2F4PInTN13DlsMxvaLWtZNHZduT77n8XtSykaU7CE0oiPrVGdzoTRvBgW47rGFiL23KRFp0ik9ZVK1MYwg==" saltValue="0A8UgRHnZgcTVBpjvoek6g==" spinCount="100000" sheet="1" selectLockedCells="1"/>
  <mergeCells count="16">
    <mergeCell ref="A1:I1"/>
    <mergeCell ref="C5:E5"/>
    <mergeCell ref="C7:E7"/>
    <mergeCell ref="G5:I5"/>
    <mergeCell ref="G7:I7"/>
    <mergeCell ref="A2:I2"/>
    <mergeCell ref="F59:J60"/>
    <mergeCell ref="C3:I3"/>
    <mergeCell ref="C27:J27"/>
    <mergeCell ref="A22:J22"/>
    <mergeCell ref="A5:B5"/>
    <mergeCell ref="A7:B7"/>
    <mergeCell ref="E47:J47"/>
    <mergeCell ref="A9:J9"/>
    <mergeCell ref="A46:B48"/>
    <mergeCell ref="D58:J58"/>
  </mergeCells>
  <printOptions horizontalCentered="1" verticalCentered="1"/>
  <pageMargins left="0.25" right="0.25"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L67"/>
  <sheetViews>
    <sheetView showZeros="0" view="pageBreakPreview" zoomScale="141" zoomScaleNormal="100" zoomScaleSheetLayoutView="100" workbookViewId="0">
      <selection activeCell="K11" sqref="K11"/>
    </sheetView>
  </sheetViews>
  <sheetFormatPr defaultColWidth="8.85546875" defaultRowHeight="12" x14ac:dyDescent="0.2"/>
  <cols>
    <col min="1" max="1" width="17.140625" style="27" customWidth="1"/>
    <col min="2" max="9" width="9.28515625" style="27" customWidth="1"/>
    <col min="10" max="10" width="8.85546875" style="27"/>
    <col min="11" max="11" width="14.28515625" style="27" customWidth="1"/>
    <col min="12" max="12" width="23.5703125" style="27" customWidth="1"/>
    <col min="13" max="16384" width="8.85546875" style="27"/>
  </cols>
  <sheetData>
    <row r="1" spans="1:12" s="18" customFormat="1" ht="12.75" x14ac:dyDescent="0.2">
      <c r="A1" s="275" t="str">
        <f>'CL_1 - Site Screening'!A1:I1</f>
        <v>Design Review Checklist for Dry or Dry ED Detention Ponds</v>
      </c>
      <c r="B1" s="275"/>
      <c r="C1" s="275"/>
      <c r="D1" s="275"/>
      <c r="E1" s="275"/>
      <c r="F1" s="275"/>
      <c r="G1" s="275"/>
      <c r="H1" s="275"/>
      <c r="I1" s="275"/>
    </row>
    <row r="2" spans="1:12" s="18" customFormat="1" ht="12.75" x14ac:dyDescent="0.2">
      <c r="A2" s="277" t="s">
        <v>158</v>
      </c>
      <c r="B2" s="277"/>
      <c r="C2" s="277"/>
      <c r="D2" s="277"/>
      <c r="E2" s="277"/>
      <c r="F2" s="277"/>
      <c r="G2" s="277"/>
      <c r="H2" s="277"/>
      <c r="I2" s="277"/>
    </row>
    <row r="3" spans="1:12" s="20" customFormat="1" x14ac:dyDescent="0.2">
      <c r="B3" s="21" t="s">
        <v>147</v>
      </c>
      <c r="C3" s="280">
        <f>'CL_1 - Site Screening'!C3</f>
        <v>0</v>
      </c>
      <c r="D3" s="280"/>
      <c r="E3" s="280"/>
      <c r="F3" s="280"/>
      <c r="G3" s="280"/>
      <c r="H3" s="280"/>
      <c r="I3" s="280"/>
    </row>
    <row r="4" spans="1:12" s="23" customFormat="1" ht="3.6" customHeight="1" x14ac:dyDescent="0.2">
      <c r="B4" s="24"/>
      <c r="C4" s="25"/>
      <c r="D4" s="25"/>
      <c r="E4" s="25"/>
      <c r="F4" s="25"/>
      <c r="G4" s="25"/>
      <c r="H4" s="25"/>
      <c r="I4" s="25"/>
    </row>
    <row r="5" spans="1:12" x14ac:dyDescent="0.2">
      <c r="A5" s="271" t="s">
        <v>96</v>
      </c>
      <c r="B5" s="271"/>
      <c r="C5" s="280">
        <f>'CL_1 - Site Screening'!C5</f>
        <v>0</v>
      </c>
      <c r="D5" s="280"/>
      <c r="E5" s="280"/>
      <c r="F5" s="24" t="s">
        <v>98</v>
      </c>
      <c r="G5" s="281">
        <f ca="1">'CL_1 - Site Screening'!G5</f>
        <v>44608</v>
      </c>
      <c r="H5" s="280"/>
      <c r="I5" s="280"/>
    </row>
    <row r="6" spans="1:12" ht="3.6" customHeight="1" x14ac:dyDescent="0.2">
      <c r="A6" s="21"/>
      <c r="B6" s="21"/>
      <c r="C6" s="25"/>
      <c r="D6" s="25"/>
      <c r="E6" s="25"/>
      <c r="F6" s="24"/>
      <c r="G6" s="44"/>
      <c r="H6" s="25"/>
      <c r="I6" s="25"/>
    </row>
    <row r="7" spans="1:12" x14ac:dyDescent="0.2">
      <c r="A7" s="279" t="s">
        <v>290</v>
      </c>
      <c r="B7" s="279"/>
      <c r="C7" s="279"/>
      <c r="D7" s="279"/>
      <c r="E7" s="279"/>
      <c r="F7" s="279"/>
      <c r="G7" s="279"/>
      <c r="H7" s="279"/>
      <c r="I7" s="279"/>
      <c r="J7" s="45"/>
    </row>
    <row r="8" spans="1:12" ht="3.6" customHeight="1" x14ac:dyDescent="0.2">
      <c r="A8" s="46"/>
      <c r="B8" s="46"/>
      <c r="C8" s="46"/>
      <c r="D8" s="46"/>
      <c r="E8" s="46"/>
      <c r="F8" s="46"/>
      <c r="G8" s="46"/>
      <c r="H8" s="46"/>
      <c r="I8" s="46"/>
      <c r="J8" s="46"/>
    </row>
    <row r="9" spans="1:12" ht="12" customHeight="1" x14ac:dyDescent="0.2">
      <c r="A9" s="47" t="s">
        <v>159</v>
      </c>
      <c r="B9" s="48"/>
      <c r="C9" s="48"/>
      <c r="D9" s="48"/>
      <c r="E9" s="48"/>
      <c r="F9" s="48"/>
      <c r="G9" s="48"/>
      <c r="H9" s="48"/>
      <c r="I9" s="48"/>
      <c r="J9" s="46"/>
    </row>
    <row r="10" spans="1:12" ht="12" customHeight="1" x14ac:dyDescent="0.2">
      <c r="A10" s="46"/>
      <c r="B10" s="46"/>
      <c r="C10" s="46"/>
      <c r="D10" s="46"/>
      <c r="E10" s="46"/>
      <c r="F10" s="46"/>
      <c r="G10" s="46"/>
      <c r="H10" s="46"/>
      <c r="I10" s="46"/>
      <c r="J10" s="46"/>
      <c r="K10" s="49" t="s">
        <v>203</v>
      </c>
      <c r="L10" s="50"/>
    </row>
    <row r="11" spans="1:12" ht="12" customHeight="1" x14ac:dyDescent="0.2">
      <c r="A11" s="51" t="s">
        <v>74</v>
      </c>
      <c r="B11" s="46" t="s">
        <v>160</v>
      </c>
      <c r="C11" s="52">
        <f>IF(K11=0,'DE_1 - Watershed Info'!F45,K11)</f>
        <v>2268.7499999999995</v>
      </c>
      <c r="D11" s="27" t="s">
        <v>81</v>
      </c>
      <c r="E11" s="46"/>
      <c r="F11" s="52"/>
      <c r="G11" s="46"/>
      <c r="H11" s="53"/>
      <c r="I11" s="34" t="str">
        <f>IF(K11&gt;0,"MANUAL"," ")</f>
        <v xml:space="preserve"> </v>
      </c>
      <c r="J11" s="46"/>
      <c r="K11" s="54">
        <v>0</v>
      </c>
      <c r="L11" s="55" t="s">
        <v>207</v>
      </c>
    </row>
    <row r="12" spans="1:12" ht="12" customHeight="1" x14ac:dyDescent="0.2">
      <c r="A12" s="51" t="s">
        <v>172</v>
      </c>
      <c r="B12" s="46" t="s">
        <v>160</v>
      </c>
      <c r="C12" s="52">
        <f>IF(K12=0,'Step 4 - Pre-treat'!B8,K12)</f>
        <v>226.87499999999997</v>
      </c>
      <c r="D12" s="27" t="s">
        <v>81</v>
      </c>
      <c r="E12" s="46" t="s">
        <v>161</v>
      </c>
      <c r="F12" s="52">
        <f>'Step 4 - Pre-treat'!D47+'Step 4 - Pre-treat'!B9</f>
        <v>0</v>
      </c>
      <c r="G12" s="46" t="s">
        <v>81</v>
      </c>
      <c r="H12" s="53">
        <f>IF(F12=0,0,IF(F12/C12&gt;=1,"OK","!"))</f>
        <v>0</v>
      </c>
      <c r="I12" s="34" t="str">
        <f>IF(K12&gt;0,"MANUAL"," ")</f>
        <v xml:space="preserve"> </v>
      </c>
      <c r="J12" s="46"/>
      <c r="K12" s="56">
        <v>0</v>
      </c>
      <c r="L12" s="57" t="s">
        <v>208</v>
      </c>
    </row>
    <row r="13" spans="1:12" s="61" customFormat="1" ht="12" customHeight="1" x14ac:dyDescent="0.2">
      <c r="A13" s="58" t="s">
        <v>173</v>
      </c>
      <c r="B13" s="59"/>
      <c r="C13" s="60"/>
      <c r="E13" s="59"/>
      <c r="F13" s="60"/>
      <c r="G13" s="59"/>
      <c r="H13" s="62"/>
      <c r="I13" s="59"/>
      <c r="J13" s="59"/>
    </row>
    <row r="14" spans="1:12" ht="12" customHeight="1" x14ac:dyDescent="0.2">
      <c r="A14" s="46" t="s">
        <v>264</v>
      </c>
      <c r="B14" s="46"/>
      <c r="C14" s="52"/>
      <c r="E14" s="46"/>
      <c r="F14" s="63"/>
      <c r="G14" s="46" t="s">
        <v>34</v>
      </c>
      <c r="H14" s="64"/>
      <c r="I14" s="46"/>
      <c r="J14" s="46"/>
    </row>
    <row r="15" spans="1:12" ht="12" customHeight="1" x14ac:dyDescent="0.2">
      <c r="A15" s="46"/>
      <c r="B15" s="46"/>
      <c r="C15" s="46"/>
      <c r="D15" s="46"/>
      <c r="E15" s="23" t="s">
        <v>265</v>
      </c>
      <c r="F15" s="65"/>
      <c r="G15" s="46" t="s">
        <v>81</v>
      </c>
      <c r="H15" s="46"/>
      <c r="I15" s="46"/>
      <c r="J15" s="46"/>
    </row>
    <row r="16" spans="1:12" ht="12" customHeight="1" x14ac:dyDescent="0.2">
      <c r="A16" s="46"/>
      <c r="B16" s="46"/>
      <c r="C16" s="46"/>
      <c r="D16" s="46"/>
      <c r="E16" s="46"/>
      <c r="F16" s="46"/>
      <c r="G16" s="46"/>
      <c r="H16" s="46"/>
      <c r="I16" s="46"/>
      <c r="J16" s="46"/>
    </row>
    <row r="17" spans="1:12" s="28" customFormat="1" ht="12" customHeight="1" x14ac:dyDescent="0.2">
      <c r="A17" s="66"/>
      <c r="B17" s="67"/>
      <c r="C17" s="67">
        <f>IF(F14="Y","CPv (1-yr)",0)</f>
        <v>0</v>
      </c>
      <c r="D17" s="67" t="s">
        <v>162</v>
      </c>
      <c r="E17" s="67" t="s">
        <v>163</v>
      </c>
      <c r="F17" s="67" t="s">
        <v>164</v>
      </c>
      <c r="G17" s="67" t="s">
        <v>165</v>
      </c>
      <c r="H17" s="67" t="s">
        <v>166</v>
      </c>
      <c r="I17" s="67" t="s">
        <v>167</v>
      </c>
      <c r="J17" s="46"/>
    </row>
    <row r="18" spans="1:12" ht="12" customHeight="1" x14ac:dyDescent="0.2">
      <c r="A18" s="51" t="s">
        <v>168</v>
      </c>
      <c r="B18" s="68"/>
      <c r="C18" s="68">
        <f>IF(F14="Y",'Step 9 - Results'!B14,0)</f>
        <v>0</v>
      </c>
      <c r="D18" s="68">
        <f>'Step 9 - Results'!B15</f>
        <v>0</v>
      </c>
      <c r="E18" s="68">
        <f>'Step 9 - Results'!B16</f>
        <v>0</v>
      </c>
      <c r="F18" s="68">
        <f>'Step 9 - Results'!B17</f>
        <v>0</v>
      </c>
      <c r="G18" s="68">
        <f>'Step 9 - Results'!B18</f>
        <v>0</v>
      </c>
      <c r="H18" s="68">
        <f>'Step 9 - Results'!B19</f>
        <v>0</v>
      </c>
      <c r="I18" s="68">
        <f>'Step 9 - Results'!B20</f>
        <v>0</v>
      </c>
      <c r="J18" s="46"/>
    </row>
    <row r="19" spans="1:12" ht="12" customHeight="1" x14ac:dyDescent="0.2">
      <c r="A19" s="51" t="s">
        <v>169</v>
      </c>
      <c r="B19" s="68"/>
      <c r="C19" s="68">
        <f>IF(F14="Y",'Step 9 - Results'!C14,0)</f>
        <v>0</v>
      </c>
      <c r="D19" s="68">
        <f>'Step 9 - Results'!C15</f>
        <v>0</v>
      </c>
      <c r="E19" s="68">
        <f>'Step 9 - Results'!C16</f>
        <v>0</v>
      </c>
      <c r="F19" s="68">
        <f>'Step 9 - Results'!C17</f>
        <v>0</v>
      </c>
      <c r="G19" s="68">
        <f>'Step 9 - Results'!C18</f>
        <v>0</v>
      </c>
      <c r="H19" s="68">
        <f>'Step 9 - Results'!C19</f>
        <v>0</v>
      </c>
      <c r="I19" s="68">
        <f>'Step 9 - Results'!C20</f>
        <v>0</v>
      </c>
      <c r="J19" s="46"/>
    </row>
    <row r="20" spans="1:12" ht="3.6" customHeight="1" x14ac:dyDescent="0.2">
      <c r="A20" s="51"/>
      <c r="B20" s="68"/>
      <c r="C20" s="68"/>
      <c r="D20" s="68"/>
      <c r="E20" s="68"/>
      <c r="F20" s="68"/>
      <c r="G20" s="68"/>
      <c r="H20" s="68"/>
      <c r="I20" s="68"/>
      <c r="J20" s="46"/>
    </row>
    <row r="21" spans="1:12" ht="12" customHeight="1" x14ac:dyDescent="0.2">
      <c r="A21" s="51" t="s">
        <v>170</v>
      </c>
      <c r="B21" s="53"/>
      <c r="C21" s="53">
        <f t="shared" ref="C21:I21" si="0">IF(C18=0,0,IF(C19&gt;C18,"!","OK"))</f>
        <v>0</v>
      </c>
      <c r="D21" s="53">
        <f t="shared" si="0"/>
        <v>0</v>
      </c>
      <c r="E21" s="53">
        <f t="shared" si="0"/>
        <v>0</v>
      </c>
      <c r="F21" s="53">
        <f t="shared" si="0"/>
        <v>0</v>
      </c>
      <c r="G21" s="53">
        <f t="shared" si="0"/>
        <v>0</v>
      </c>
      <c r="H21" s="53">
        <f t="shared" si="0"/>
        <v>0</v>
      </c>
      <c r="I21" s="53">
        <f t="shared" si="0"/>
        <v>0</v>
      </c>
      <c r="J21" s="46"/>
    </row>
    <row r="22" spans="1:12" ht="12" customHeight="1" x14ac:dyDescent="0.2">
      <c r="A22" s="46"/>
      <c r="B22" s="46"/>
      <c r="C22" s="46"/>
      <c r="D22" s="46"/>
      <c r="E22" s="46"/>
      <c r="F22" s="46"/>
      <c r="G22" s="46"/>
      <c r="H22" s="46"/>
      <c r="I22" s="46"/>
      <c r="J22" s="46"/>
    </row>
    <row r="23" spans="1:12" ht="12" customHeight="1" x14ac:dyDescent="0.2">
      <c r="A23" s="69"/>
      <c r="B23" s="70"/>
      <c r="C23" s="71"/>
      <c r="D23" s="72">
        <f>IF(F14="Y","CPv (1-yr)",0)</f>
        <v>0</v>
      </c>
      <c r="E23" s="67" t="s">
        <v>164</v>
      </c>
      <c r="F23" s="67" t="s">
        <v>167</v>
      </c>
      <c r="G23" s="46"/>
      <c r="H23" s="46"/>
      <c r="I23" s="46"/>
      <c r="J23" s="46"/>
      <c r="K23" s="49" t="s">
        <v>203</v>
      </c>
      <c r="L23" s="50"/>
    </row>
    <row r="24" spans="1:12" ht="12" customHeight="1" x14ac:dyDescent="0.2">
      <c r="A24" s="46" t="s">
        <v>278</v>
      </c>
      <c r="D24" s="73">
        <f>IF(F14="Y",IF(K25=0,'Step 9 - Results'!D14-I24,K25-K24),0)</f>
        <v>0</v>
      </c>
      <c r="E24" s="73">
        <f>IF(K26=0,'Step 9 - Results'!D17-I24,K26-K24)</f>
        <v>-100</v>
      </c>
      <c r="F24" s="73">
        <f>IF(K27=0,'Step 9 - Results'!D20-'CL_2 - Design Summary'!I24,K27-K24)</f>
        <v>-100</v>
      </c>
      <c r="G24" s="46" t="s">
        <v>270</v>
      </c>
      <c r="H24" s="46"/>
      <c r="I24" s="74">
        <f>IF(K24=0,'Step 5-7 Final Storage Volumes'!G5,K24)</f>
        <v>100</v>
      </c>
      <c r="J24" s="46"/>
      <c r="K24" s="75">
        <v>0</v>
      </c>
      <c r="L24" s="50" t="s">
        <v>171</v>
      </c>
    </row>
    <row r="25" spans="1:12" ht="12" customHeight="1" x14ac:dyDescent="0.2">
      <c r="A25" s="46"/>
      <c r="B25" s="46"/>
      <c r="C25" s="23" t="s">
        <v>282</v>
      </c>
      <c r="D25" s="53">
        <f>IF(D24=0,0,IF(D24&lt;=2.5,"OK","!"))</f>
        <v>0</v>
      </c>
      <c r="E25" s="53" t="str">
        <f>IF(E24=0,0,IF(E24&lt;=4,"OK","!"))</f>
        <v>OK</v>
      </c>
      <c r="F25" s="53" t="str">
        <f>IF(F24=0,0,IF(F24&lt;=6,"OK","!"))</f>
        <v>OK</v>
      </c>
      <c r="G25" s="278" t="s">
        <v>283</v>
      </c>
      <c r="H25" s="278"/>
      <c r="I25" s="34" t="str">
        <f>IF(K24&gt;0,"MANUAL"," ")</f>
        <v xml:space="preserve"> </v>
      </c>
      <c r="J25" s="46"/>
      <c r="K25" s="75">
        <v>0</v>
      </c>
      <c r="L25" s="50" t="s">
        <v>209</v>
      </c>
    </row>
    <row r="26" spans="1:12" ht="12" customHeight="1" x14ac:dyDescent="0.2">
      <c r="A26" s="46"/>
      <c r="B26" s="46"/>
      <c r="D26" s="34" t="str">
        <f>IF(K25&gt;0,"MANUAL"," ")</f>
        <v xml:space="preserve"> </v>
      </c>
      <c r="E26" s="34" t="str">
        <f>IF(K26&gt;0,"MANUAL"," ")</f>
        <v xml:space="preserve"> </v>
      </c>
      <c r="F26" s="34" t="str">
        <f>IF(K27&gt;0,"MANUAL"," ")</f>
        <v xml:space="preserve"> </v>
      </c>
      <c r="G26" s="278"/>
      <c r="H26" s="278"/>
      <c r="I26" s="46"/>
      <c r="J26" s="46"/>
      <c r="K26" s="75">
        <v>0</v>
      </c>
      <c r="L26" s="50" t="s">
        <v>210</v>
      </c>
    </row>
    <row r="27" spans="1:12" ht="12" customHeight="1" x14ac:dyDescent="0.2">
      <c r="A27" s="76" t="s">
        <v>266</v>
      </c>
      <c r="B27" s="77"/>
      <c r="C27" s="77"/>
      <c r="D27" s="77"/>
      <c r="E27" s="77"/>
      <c r="F27" s="77"/>
      <c r="G27" s="278"/>
      <c r="H27" s="278"/>
      <c r="I27" s="46"/>
      <c r="J27" s="46"/>
      <c r="K27" s="75">
        <v>0</v>
      </c>
      <c r="L27" s="50" t="s">
        <v>211</v>
      </c>
    </row>
    <row r="28" spans="1:12" ht="12" customHeight="1" x14ac:dyDescent="0.2">
      <c r="A28" s="51"/>
      <c r="B28" s="46"/>
      <c r="C28" s="46"/>
      <c r="D28" s="46"/>
      <c r="E28" s="46"/>
      <c r="F28" s="46"/>
      <c r="G28" s="46"/>
      <c r="H28" s="46"/>
      <c r="I28" s="46"/>
      <c r="J28" s="46"/>
    </row>
    <row r="29" spans="1:12" ht="12" customHeight="1" x14ac:dyDescent="0.2">
      <c r="A29" s="51"/>
      <c r="B29" s="46"/>
      <c r="C29" s="46"/>
      <c r="D29" s="20" t="s">
        <v>280</v>
      </c>
      <c r="E29" s="78">
        <f>MAX('Step 5-7 Final Storage Volumes'!C14:C25)/('CL_1 - Site Screening'!C29*43560)</f>
        <v>0</v>
      </c>
      <c r="F29" s="46" t="s">
        <v>177</v>
      </c>
      <c r="G29" s="46"/>
      <c r="H29" s="46"/>
      <c r="I29" s="46"/>
      <c r="J29" s="46"/>
    </row>
    <row r="30" spans="1:12" ht="12" customHeight="1" x14ac:dyDescent="0.2">
      <c r="A30" s="51"/>
      <c r="B30" s="46"/>
      <c r="C30" s="58" t="s">
        <v>281</v>
      </c>
      <c r="D30" s="20"/>
      <c r="E30" s="78"/>
      <c r="F30" s="46"/>
      <c r="G30" s="46"/>
      <c r="H30" s="46"/>
      <c r="I30" s="46"/>
      <c r="J30" s="46"/>
    </row>
    <row r="31" spans="1:12" ht="12" customHeight="1" x14ac:dyDescent="0.2">
      <c r="A31" s="51"/>
      <c r="B31" s="46"/>
      <c r="C31" s="58"/>
      <c r="D31" s="20"/>
      <c r="E31" s="78"/>
      <c r="F31" s="46"/>
      <c r="G31" s="46"/>
      <c r="H31" s="46"/>
      <c r="I31" s="46"/>
      <c r="J31" s="46"/>
    </row>
    <row r="32" spans="1:12" ht="12" customHeight="1" x14ac:dyDescent="0.2">
      <c r="A32" s="46"/>
      <c r="C32" s="46"/>
      <c r="D32" s="23" t="s">
        <v>11</v>
      </c>
      <c r="E32" s="79">
        <f>'Step 5-7 Final Storage Volumes'!E27</f>
        <v>0</v>
      </c>
      <c r="F32" s="80" t="s">
        <v>176</v>
      </c>
      <c r="G32" s="22"/>
      <c r="H32" s="46"/>
      <c r="I32" s="46"/>
      <c r="J32" s="46"/>
    </row>
    <row r="33" spans="1:10" ht="12" customHeight="1" x14ac:dyDescent="0.2">
      <c r="A33" s="46"/>
      <c r="B33" s="46"/>
      <c r="C33" s="46"/>
      <c r="D33" s="46"/>
      <c r="E33" s="46"/>
      <c r="F33" s="46"/>
      <c r="G33" s="46"/>
      <c r="H33" s="46"/>
      <c r="I33" s="46"/>
      <c r="J33" s="46"/>
    </row>
    <row r="34" spans="1:10" ht="12" customHeight="1" x14ac:dyDescent="0.2">
      <c r="A34" s="81" t="s">
        <v>267</v>
      </c>
      <c r="B34" s="81"/>
      <c r="C34" s="81"/>
      <c r="D34" s="81"/>
      <c r="E34" s="81"/>
      <c r="F34" s="81"/>
      <c r="G34" s="81"/>
      <c r="H34" s="81"/>
      <c r="I34" s="81"/>
      <c r="J34" s="46"/>
    </row>
    <row r="35" spans="1:10" ht="12" customHeight="1" x14ac:dyDescent="0.2">
      <c r="A35" s="46"/>
      <c r="B35" s="46"/>
      <c r="C35" s="46"/>
      <c r="D35" s="46"/>
      <c r="E35" s="46"/>
      <c r="F35" s="46"/>
      <c r="G35" s="46"/>
      <c r="H35" s="46"/>
      <c r="I35" s="46"/>
      <c r="J35" s="46"/>
    </row>
    <row r="36" spans="1:10" ht="12" customHeight="1" x14ac:dyDescent="0.2">
      <c r="A36" s="46"/>
      <c r="B36" s="46"/>
      <c r="C36" s="46"/>
      <c r="D36" s="23" t="s">
        <v>258</v>
      </c>
      <c r="E36" s="82"/>
      <c r="F36" s="46" t="s">
        <v>85</v>
      </c>
      <c r="G36" s="46"/>
      <c r="H36" s="46"/>
      <c r="I36" s="46"/>
      <c r="J36" s="46"/>
    </row>
    <row r="37" spans="1:10" ht="12" customHeight="1" x14ac:dyDescent="0.2">
      <c r="A37" s="46"/>
      <c r="B37" s="46"/>
      <c r="C37" s="46"/>
      <c r="D37" s="23" t="s">
        <v>286</v>
      </c>
      <c r="E37" s="82"/>
      <c r="F37" s="46" t="s">
        <v>85</v>
      </c>
      <c r="G37" s="46" t="s">
        <v>174</v>
      </c>
      <c r="H37" s="26" t="str">
        <f>IF(E36=0,"NA",E37/E36)</f>
        <v>NA</v>
      </c>
      <c r="I37" s="22" t="str">
        <f>IF(H37="NA"," ",IF(H37&gt;=2,"OK","!"))</f>
        <v xml:space="preserve"> </v>
      </c>
      <c r="J37" s="46"/>
    </row>
    <row r="38" spans="1:10" ht="12" customHeight="1" x14ac:dyDescent="0.2">
      <c r="A38" s="46"/>
      <c r="B38" s="46"/>
      <c r="C38" s="46"/>
      <c r="D38" s="46"/>
      <c r="E38" s="46"/>
      <c r="F38" s="46"/>
      <c r="G38" s="46"/>
      <c r="H38" s="46"/>
      <c r="I38" s="46"/>
      <c r="J38" s="46"/>
    </row>
    <row r="39" spans="1:10" ht="12" customHeight="1" x14ac:dyDescent="0.2">
      <c r="A39" s="46"/>
      <c r="C39" s="46"/>
      <c r="D39" s="46"/>
      <c r="E39" s="23" t="s">
        <v>253</v>
      </c>
      <c r="F39" s="82"/>
      <c r="G39" s="46"/>
      <c r="H39" s="22">
        <f>IF(F39=0,0,IF(F39-F24-I24&gt;=1,"OK","!"))</f>
        <v>0</v>
      </c>
      <c r="I39" s="46"/>
      <c r="J39" s="46"/>
    </row>
    <row r="40" spans="1:10" ht="12" customHeight="1" x14ac:dyDescent="0.2">
      <c r="A40" s="46"/>
      <c r="C40" s="46"/>
      <c r="D40" s="46"/>
      <c r="E40" s="23"/>
      <c r="F40" s="83">
        <f>IF(F39=0,0,IF(F39-F24-I24&lt;1,"DAM CREST &lt; 1' ABOVE 100-YR HIGH WATER ELEV",0))</f>
        <v>0</v>
      </c>
      <c r="G40" s="46"/>
      <c r="H40" s="22"/>
      <c r="I40" s="46"/>
      <c r="J40" s="46"/>
    </row>
    <row r="41" spans="1:10" ht="12" customHeight="1" x14ac:dyDescent="0.2">
      <c r="A41" s="46"/>
      <c r="C41" s="46"/>
      <c r="D41" s="46"/>
      <c r="E41" s="23" t="s">
        <v>254</v>
      </c>
      <c r="F41" s="82"/>
      <c r="G41" s="46"/>
      <c r="H41" s="22">
        <f>IF(F41=0,0,IF(F39-F41&gt;=1.5,"OK","!"))</f>
        <v>0</v>
      </c>
      <c r="I41" s="46"/>
      <c r="J41" s="46"/>
    </row>
    <row r="42" spans="1:10" ht="12" customHeight="1" x14ac:dyDescent="0.2">
      <c r="A42" s="46"/>
      <c r="C42" s="46"/>
      <c r="D42" s="46"/>
      <c r="E42" s="23"/>
      <c r="F42" s="83">
        <f>IF(F39=0,0,IF(F39-F41&lt;1.5,"AUX. SPILLWAY CREST &lt; 1.5' BELOW DAM CREST",0))</f>
        <v>0</v>
      </c>
      <c r="G42" s="46"/>
      <c r="H42" s="22"/>
      <c r="I42" s="46"/>
      <c r="J42" s="46"/>
    </row>
    <row r="43" spans="1:10" ht="12" customHeight="1" x14ac:dyDescent="0.2">
      <c r="A43" s="46"/>
      <c r="C43" s="46"/>
      <c r="D43" s="46"/>
      <c r="E43" s="23"/>
      <c r="F43" s="26"/>
      <c r="G43" s="46"/>
      <c r="H43" s="22"/>
      <c r="I43" s="46"/>
      <c r="J43" s="46"/>
    </row>
    <row r="44" spans="1:10" ht="12" customHeight="1" x14ac:dyDescent="0.2">
      <c r="A44" s="46"/>
      <c r="C44" s="46"/>
      <c r="D44" s="46"/>
      <c r="E44" s="23" t="s">
        <v>272</v>
      </c>
      <c r="F44" s="82"/>
      <c r="G44" s="46" t="s">
        <v>29</v>
      </c>
      <c r="H44" s="22"/>
      <c r="I44" s="46"/>
      <c r="J44" s="46"/>
    </row>
    <row r="45" spans="1:10" ht="12" customHeight="1" x14ac:dyDescent="0.2">
      <c r="A45" s="46"/>
      <c r="C45" s="46"/>
      <c r="D45" s="46"/>
      <c r="E45" s="23" t="s">
        <v>273</v>
      </c>
      <c r="F45" s="82"/>
      <c r="G45" s="46" t="s">
        <v>175</v>
      </c>
      <c r="H45" s="22" t="str">
        <f>IF(F45=0," ",IF(F45&gt;=6,"OK","!"))</f>
        <v xml:space="preserve"> </v>
      </c>
      <c r="I45" s="46"/>
      <c r="J45" s="46"/>
    </row>
    <row r="46" spans="1:10" ht="12" customHeight="1" x14ac:dyDescent="0.2">
      <c r="A46" s="46"/>
      <c r="C46" s="46"/>
      <c r="D46" s="46"/>
      <c r="E46" s="23" t="s">
        <v>257</v>
      </c>
      <c r="F46" s="82"/>
      <c r="G46" s="46" t="s">
        <v>175</v>
      </c>
      <c r="H46" s="22" t="str">
        <f>IF(F46=0," ",IF(F46&gt;=4,"OK",IF(F46&gt;=3,"/","!")))</f>
        <v xml:space="preserve"> </v>
      </c>
      <c r="I46" s="46"/>
      <c r="J46" s="46"/>
    </row>
    <row r="47" spans="1:10" ht="12" customHeight="1" x14ac:dyDescent="0.2">
      <c r="A47" s="46"/>
      <c r="B47" s="46"/>
      <c r="C47" s="46"/>
      <c r="D47" s="46"/>
      <c r="E47" s="46"/>
      <c r="F47" s="26"/>
      <c r="G47" s="46"/>
      <c r="H47" s="46"/>
      <c r="I47" s="46"/>
      <c r="J47" s="46"/>
    </row>
    <row r="48" spans="1:10" ht="12" customHeight="1" x14ac:dyDescent="0.2">
      <c r="A48" s="46"/>
      <c r="B48" s="46"/>
      <c r="C48" s="46"/>
      <c r="D48" s="46"/>
      <c r="E48" s="23" t="s">
        <v>255</v>
      </c>
      <c r="F48" s="82"/>
      <c r="G48" s="46" t="s">
        <v>85</v>
      </c>
      <c r="H48" s="46"/>
      <c r="I48" s="46"/>
      <c r="J48" s="46"/>
    </row>
    <row r="49" spans="1:10" ht="12" customHeight="1" x14ac:dyDescent="0.2">
      <c r="A49" s="46"/>
      <c r="B49" s="46"/>
      <c r="C49" s="46"/>
      <c r="D49" s="46"/>
      <c r="E49" s="46"/>
      <c r="F49" s="46"/>
      <c r="G49" s="46"/>
      <c r="H49" s="46"/>
      <c r="I49" s="46"/>
      <c r="J49" s="46"/>
    </row>
    <row r="50" spans="1:10" ht="12" customHeight="1" x14ac:dyDescent="0.2">
      <c r="A50" s="84" t="s">
        <v>180</v>
      </c>
      <c r="B50" s="84"/>
      <c r="C50" s="84"/>
      <c r="D50" s="84"/>
      <c r="E50" s="84"/>
      <c r="F50" s="84"/>
      <c r="G50" s="84"/>
      <c r="H50" s="84"/>
      <c r="I50" s="84"/>
      <c r="J50" s="46"/>
    </row>
    <row r="51" spans="1:10" ht="24" customHeight="1" x14ac:dyDescent="0.2">
      <c r="A51" s="46"/>
      <c r="B51" s="46"/>
      <c r="C51" s="46"/>
      <c r="D51" s="24" t="s">
        <v>184</v>
      </c>
      <c r="E51" s="85" t="s">
        <v>188</v>
      </c>
      <c r="G51" s="46"/>
      <c r="H51" s="46"/>
      <c r="I51" s="46"/>
      <c r="J51" s="46"/>
    </row>
    <row r="52" spans="1:10" ht="12" customHeight="1" x14ac:dyDescent="0.2">
      <c r="B52" s="46"/>
      <c r="C52" s="46"/>
      <c r="D52" s="23" t="s">
        <v>183</v>
      </c>
      <c r="E52" s="86"/>
      <c r="G52" s="23" t="s">
        <v>198</v>
      </c>
      <c r="H52" s="86"/>
      <c r="I52" s="25" t="s">
        <v>34</v>
      </c>
      <c r="J52" s="46"/>
    </row>
    <row r="53" spans="1:10" ht="12" customHeight="1" x14ac:dyDescent="0.2">
      <c r="B53" s="46"/>
      <c r="C53" s="46"/>
      <c r="D53" s="23" t="s">
        <v>190</v>
      </c>
      <c r="E53" s="86"/>
      <c r="G53" s="46"/>
      <c r="H53" s="46"/>
      <c r="I53" s="46"/>
      <c r="J53" s="46"/>
    </row>
    <row r="54" spans="1:10" ht="12" customHeight="1" x14ac:dyDescent="0.2">
      <c r="B54" s="46"/>
      <c r="C54" s="46"/>
      <c r="D54" s="23" t="s">
        <v>191</v>
      </c>
      <c r="E54" s="86"/>
      <c r="G54" s="46"/>
      <c r="H54" s="46"/>
      <c r="I54" s="46"/>
      <c r="J54" s="46"/>
    </row>
    <row r="55" spans="1:10" x14ac:dyDescent="0.2">
      <c r="B55" s="28"/>
      <c r="C55" s="26"/>
      <c r="D55" s="23" t="s">
        <v>185</v>
      </c>
      <c r="E55" s="86"/>
      <c r="G55" s="28"/>
      <c r="H55" s="28"/>
      <c r="I55" s="28"/>
      <c r="J55" s="28"/>
    </row>
    <row r="56" spans="1:10" x14ac:dyDescent="0.2">
      <c r="B56" s="28"/>
      <c r="C56" s="26"/>
      <c r="D56" s="23" t="s">
        <v>186</v>
      </c>
      <c r="E56" s="86"/>
      <c r="G56" s="28"/>
      <c r="I56" s="28"/>
      <c r="J56" s="28"/>
    </row>
    <row r="57" spans="1:10" x14ac:dyDescent="0.2">
      <c r="B57" s="28"/>
      <c r="C57" s="26"/>
      <c r="D57" s="23" t="s">
        <v>181</v>
      </c>
      <c r="E57" s="86"/>
      <c r="F57" s="28"/>
      <c r="G57" s="23" t="s">
        <v>182</v>
      </c>
      <c r="H57" s="86"/>
      <c r="I57" s="25" t="s">
        <v>34</v>
      </c>
      <c r="J57" s="28"/>
    </row>
    <row r="58" spans="1:10" x14ac:dyDescent="0.2">
      <c r="B58" s="28"/>
      <c r="C58" s="26"/>
      <c r="D58" s="23" t="s">
        <v>187</v>
      </c>
      <c r="E58" s="86"/>
      <c r="G58" s="23" t="s">
        <v>189</v>
      </c>
      <c r="H58" s="86"/>
      <c r="I58" s="25" t="s">
        <v>34</v>
      </c>
      <c r="J58" s="28"/>
    </row>
    <row r="59" spans="1:10" ht="12.75" thickBot="1" x14ac:dyDescent="0.25">
      <c r="A59" s="28"/>
      <c r="B59" s="28"/>
      <c r="C59" s="26"/>
      <c r="D59" s="28"/>
      <c r="E59" s="28"/>
      <c r="F59" s="28"/>
      <c r="G59" s="28"/>
      <c r="H59" s="28"/>
      <c r="I59" s="28"/>
      <c r="J59" s="28"/>
    </row>
    <row r="60" spans="1:10" ht="15" x14ac:dyDescent="0.25">
      <c r="A60" s="41" t="s">
        <v>236</v>
      </c>
      <c r="B60" s="41"/>
      <c r="C60" s="41"/>
      <c r="D60" s="41"/>
      <c r="E60" s="41"/>
      <c r="F60" s="41"/>
      <c r="G60" s="41"/>
      <c r="H60" s="41"/>
      <c r="I60" s="41"/>
    </row>
    <row r="61" spans="1:10" ht="15" x14ac:dyDescent="0.25">
      <c r="A61" s="42" t="s">
        <v>237</v>
      </c>
      <c r="B61" s="42"/>
      <c r="C61" s="42"/>
      <c r="D61" s="42"/>
      <c r="E61" s="42"/>
      <c r="F61" s="42"/>
      <c r="G61" s="42"/>
      <c r="H61" s="42"/>
      <c r="I61" s="43" t="str">
        <f>'CL_1 - Site Screening'!J70</f>
        <v>IDALS: Issue Date: 08/03/2020</v>
      </c>
    </row>
    <row r="62" spans="1:10" x14ac:dyDescent="0.2">
      <c r="A62" s="28"/>
      <c r="B62" s="28"/>
      <c r="C62" s="28"/>
      <c r="D62" s="28"/>
      <c r="E62" s="26"/>
      <c r="F62" s="28"/>
      <c r="G62" s="28"/>
      <c r="H62" s="28"/>
      <c r="I62" s="28"/>
      <c r="J62" s="28"/>
    </row>
    <row r="63" spans="1:10" x14ac:dyDescent="0.2">
      <c r="A63" s="28"/>
      <c r="B63" s="28"/>
      <c r="C63" s="28"/>
      <c r="D63" s="28"/>
      <c r="E63" s="26"/>
      <c r="F63" s="28"/>
      <c r="G63" s="28"/>
      <c r="H63" s="28"/>
      <c r="I63" s="28"/>
      <c r="J63" s="28"/>
    </row>
    <row r="64" spans="1:10" x14ac:dyDescent="0.2">
      <c r="A64" s="28"/>
      <c r="B64" s="28"/>
      <c r="C64" s="28"/>
      <c r="D64" s="28"/>
      <c r="E64" s="26"/>
      <c r="F64" s="28"/>
      <c r="G64" s="28"/>
      <c r="H64" s="28"/>
      <c r="I64" s="28"/>
      <c r="J64" s="28"/>
    </row>
    <row r="65" spans="1:10" x14ac:dyDescent="0.2">
      <c r="A65" s="28"/>
      <c r="B65" s="28"/>
      <c r="C65" s="28"/>
      <c r="D65" s="28"/>
      <c r="E65" s="26"/>
      <c r="F65" s="28"/>
      <c r="G65" s="28"/>
      <c r="H65" s="28"/>
      <c r="I65" s="28"/>
      <c r="J65" s="28"/>
    </row>
    <row r="66" spans="1:10" x14ac:dyDescent="0.2">
      <c r="A66" s="28"/>
      <c r="B66" s="28"/>
      <c r="C66" s="28"/>
      <c r="D66" s="28"/>
      <c r="E66" s="26"/>
      <c r="F66" s="28"/>
      <c r="G66" s="28"/>
      <c r="H66" s="28"/>
      <c r="I66" s="28"/>
      <c r="J66" s="28"/>
    </row>
    <row r="67" spans="1:10" x14ac:dyDescent="0.2">
      <c r="A67" s="28"/>
      <c r="B67" s="28"/>
      <c r="C67" s="28"/>
      <c r="D67" s="28"/>
      <c r="E67" s="26"/>
      <c r="F67" s="28"/>
      <c r="G67" s="28"/>
      <c r="H67" s="28"/>
      <c r="I67" s="28"/>
      <c r="J67" s="28"/>
    </row>
  </sheetData>
  <sheetProtection algorithmName="SHA-512" hashValue="QLTYGXLIStoGBIYtBzkoxBQzdCPSTTjHNp8fxftj4btV4V3ZmgdFrAprmrxenuX0CfjO4gf98oh4T78GfNv7SA==" saltValue="1zK2iVRe7Lo38JT/O13JIQ==" spinCount="100000" sheet="1" selectLockedCells="1"/>
  <mergeCells count="8">
    <mergeCell ref="G25:H27"/>
    <mergeCell ref="A2:I2"/>
    <mergeCell ref="A7:I7"/>
    <mergeCell ref="A1:I1"/>
    <mergeCell ref="C3:I3"/>
    <mergeCell ref="A5:B5"/>
    <mergeCell ref="C5:E5"/>
    <mergeCell ref="G5:I5"/>
  </mergeCells>
  <conditionalFormatting sqref="H11:H14 G32 H39:H46">
    <cfRule type="cellIs" dxfId="18" priority="31" operator="equal">
      <formula>"!"</formula>
    </cfRule>
    <cfRule type="cellIs" dxfId="17" priority="32" operator="equal">
      <formula>"OK"</formula>
    </cfRule>
  </conditionalFormatting>
  <conditionalFormatting sqref="C21:I21">
    <cfRule type="cellIs" dxfId="16" priority="29" operator="equal">
      <formula>"!"</formula>
    </cfRule>
    <cfRule type="cellIs" dxfId="15" priority="30" operator="equal">
      <formula>"OK"</formula>
    </cfRule>
  </conditionalFormatting>
  <conditionalFormatting sqref="D25:F25">
    <cfRule type="cellIs" dxfId="14" priority="27" operator="equal">
      <formula>"!"</formula>
    </cfRule>
    <cfRule type="cellIs" dxfId="13" priority="28" operator="equal">
      <formula>"OK"</formula>
    </cfRule>
  </conditionalFormatting>
  <conditionalFormatting sqref="I37">
    <cfRule type="cellIs" dxfId="12" priority="19" operator="equal">
      <formula>"!"</formula>
    </cfRule>
    <cfRule type="cellIs" dxfId="11" priority="20" operator="equal">
      <formula>"OK"</formula>
    </cfRule>
  </conditionalFormatting>
  <conditionalFormatting sqref="H57:I57">
    <cfRule type="duplicateValues" dxfId="10" priority="12"/>
  </conditionalFormatting>
  <conditionalFormatting sqref="H52:I52">
    <cfRule type="duplicateValues" dxfId="9" priority="11"/>
  </conditionalFormatting>
  <conditionalFormatting sqref="B21">
    <cfRule type="cellIs" dxfId="8" priority="6" operator="equal">
      <formula>"!"</formula>
    </cfRule>
    <cfRule type="cellIs" dxfId="7" priority="7" operator="equal">
      <formula>"OK"</formula>
    </cfRule>
  </conditionalFormatting>
  <conditionalFormatting sqref="H46">
    <cfRule type="cellIs" dxfId="6" priority="1" operator="equal">
      <formula>"/"</formula>
    </cfRule>
  </conditionalFormatting>
  <printOptions horizontalCentered="1" verticalCentered="1"/>
  <pageMargins left="0.25" right="0.25"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L52"/>
  <sheetViews>
    <sheetView view="pageBreakPreview" zoomScaleNormal="100" zoomScaleSheetLayoutView="100" workbookViewId="0">
      <selection activeCell="C11" sqref="C11"/>
    </sheetView>
  </sheetViews>
  <sheetFormatPr defaultColWidth="8.85546875" defaultRowHeight="12" x14ac:dyDescent="0.2"/>
  <cols>
    <col min="1" max="1" width="8.85546875" style="27"/>
    <col min="2" max="2" width="18.140625" style="27" customWidth="1"/>
    <col min="3" max="8" width="8.85546875" style="27"/>
    <col min="9" max="12" width="9.7109375" style="27" customWidth="1"/>
    <col min="13" max="16384" width="8.85546875" style="27"/>
  </cols>
  <sheetData>
    <row r="1" spans="1:12" ht="12.75" x14ac:dyDescent="0.2">
      <c r="A1" s="275" t="s">
        <v>192</v>
      </c>
      <c r="B1" s="275"/>
      <c r="C1" s="275"/>
      <c r="D1" s="275"/>
      <c r="E1" s="275"/>
      <c r="F1" s="275"/>
      <c r="G1" s="275"/>
    </row>
    <row r="2" spans="1:12" x14ac:dyDescent="0.2">
      <c r="A2" s="27" t="s">
        <v>147</v>
      </c>
      <c r="B2" s="286">
        <f>'CL_1 - Site Screening'!C3</f>
        <v>0</v>
      </c>
      <c r="C2" s="286"/>
      <c r="D2" s="286"/>
      <c r="E2" s="286"/>
      <c r="F2" s="27" t="s">
        <v>98</v>
      </c>
      <c r="G2" s="87">
        <f ca="1">'CL_1 - Site Screening'!G5</f>
        <v>44608</v>
      </c>
    </row>
    <row r="3" spans="1:12" x14ac:dyDescent="0.2">
      <c r="A3" s="88"/>
      <c r="B3" s="88"/>
      <c r="C3" s="88"/>
      <c r="D3" s="88"/>
      <c r="E3" s="88"/>
      <c r="F3" s="88"/>
    </row>
    <row r="4" spans="1:12" x14ac:dyDescent="0.2">
      <c r="A4" s="29" t="s">
        <v>58</v>
      </c>
      <c r="B4" s="29"/>
      <c r="C4" s="29"/>
      <c r="D4" s="29"/>
      <c r="E4" s="29"/>
      <c r="F4" s="29"/>
      <c r="G4" s="30"/>
    </row>
    <row r="5" spans="1:12" s="28" customFormat="1" ht="3.6" customHeight="1" x14ac:dyDescent="0.2">
      <c r="A5" s="89"/>
      <c r="B5" s="89"/>
      <c r="C5" s="89"/>
      <c r="D5" s="89"/>
      <c r="E5" s="89"/>
      <c r="F5" s="89"/>
    </row>
    <row r="6" spans="1:12" x14ac:dyDescent="0.2">
      <c r="A6" s="287" t="s">
        <v>289</v>
      </c>
      <c r="B6" s="287"/>
      <c r="C6" s="287"/>
      <c r="D6" s="287"/>
      <c r="E6" s="287"/>
      <c r="F6" s="287"/>
      <c r="G6" s="287"/>
    </row>
    <row r="7" spans="1:12" x14ac:dyDescent="0.2">
      <c r="A7" s="288" t="s">
        <v>288</v>
      </c>
      <c r="B7" s="288"/>
      <c r="C7" s="288"/>
      <c r="D7" s="288"/>
      <c r="E7" s="288"/>
      <c r="F7" s="288"/>
      <c r="G7" s="288"/>
    </row>
    <row r="9" spans="1:12" x14ac:dyDescent="0.2">
      <c r="A9" s="90" t="s">
        <v>223</v>
      </c>
      <c r="B9" s="90"/>
      <c r="C9" s="284" t="s">
        <v>16</v>
      </c>
      <c r="D9" s="284"/>
      <c r="E9" s="284"/>
      <c r="F9" s="284"/>
      <c r="G9" s="91"/>
    </row>
    <row r="10" spans="1:12" x14ac:dyDescent="0.2">
      <c r="A10" s="92" t="s">
        <v>60</v>
      </c>
      <c r="B10" s="92"/>
      <c r="C10" s="93" t="s">
        <v>17</v>
      </c>
      <c r="D10" s="93" t="s">
        <v>18</v>
      </c>
      <c r="E10" s="93" t="s">
        <v>19</v>
      </c>
      <c r="F10" s="93" t="s">
        <v>20</v>
      </c>
      <c r="I10" s="22" t="s">
        <v>17</v>
      </c>
      <c r="J10" s="22" t="s">
        <v>18</v>
      </c>
      <c r="K10" s="22" t="s">
        <v>19</v>
      </c>
      <c r="L10" s="22" t="s">
        <v>20</v>
      </c>
    </row>
    <row r="11" spans="1:12" x14ac:dyDescent="0.2">
      <c r="A11" s="27" t="s">
        <v>87</v>
      </c>
      <c r="C11" s="94">
        <v>0</v>
      </c>
      <c r="D11" s="94">
        <v>80</v>
      </c>
      <c r="E11" s="94">
        <v>0</v>
      </c>
      <c r="F11" s="94">
        <v>0</v>
      </c>
      <c r="I11" s="22">
        <v>30</v>
      </c>
      <c r="J11" s="22">
        <v>58</v>
      </c>
      <c r="K11" s="22">
        <v>71</v>
      </c>
      <c r="L11" s="22">
        <v>78</v>
      </c>
    </row>
    <row r="13" spans="1:12" x14ac:dyDescent="0.2">
      <c r="A13" s="27" t="s">
        <v>65</v>
      </c>
      <c r="C13" s="95">
        <f>SUM(C11:F11)</f>
        <v>80</v>
      </c>
      <c r="D13" s="27" t="s">
        <v>28</v>
      </c>
      <c r="F13" s="96"/>
      <c r="I13" s="27" t="s">
        <v>69</v>
      </c>
      <c r="J13" s="27">
        <v>1.25</v>
      </c>
      <c r="K13" s="27" t="s">
        <v>70</v>
      </c>
    </row>
    <row r="14" spans="1:12" x14ac:dyDescent="0.2">
      <c r="A14" s="27" t="s">
        <v>248</v>
      </c>
      <c r="C14" s="95">
        <f>IF(I16=0,ROUND(((C11*I11+D11*J11+E11*K11+F11*L11)/C13),0),I16)</f>
        <v>58</v>
      </c>
      <c r="F14" s="97"/>
    </row>
    <row r="15" spans="1:12" x14ac:dyDescent="0.2">
      <c r="D15" s="22"/>
      <c r="I15" s="98" t="s">
        <v>203</v>
      </c>
      <c r="J15" s="99"/>
      <c r="K15" s="99"/>
      <c r="L15" s="50"/>
    </row>
    <row r="16" spans="1:12" x14ac:dyDescent="0.2">
      <c r="I16" s="100">
        <v>0</v>
      </c>
      <c r="J16" s="99" t="s">
        <v>249</v>
      </c>
      <c r="K16" s="99"/>
      <c r="L16" s="50"/>
    </row>
    <row r="17" spans="1:12" x14ac:dyDescent="0.2">
      <c r="A17" s="101" t="s">
        <v>82</v>
      </c>
      <c r="B17" s="101"/>
      <c r="C17" s="285" t="s">
        <v>16</v>
      </c>
      <c r="D17" s="285"/>
      <c r="E17" s="285"/>
      <c r="F17" s="285"/>
      <c r="G17" s="102"/>
    </row>
    <row r="18" spans="1:12" x14ac:dyDescent="0.2">
      <c r="A18" s="92" t="s">
        <v>60</v>
      </c>
      <c r="B18" s="92"/>
      <c r="C18" s="93" t="s">
        <v>17</v>
      </c>
      <c r="D18" s="93" t="s">
        <v>18</v>
      </c>
      <c r="E18" s="93" t="s">
        <v>19</v>
      </c>
      <c r="F18" s="93" t="s">
        <v>20</v>
      </c>
      <c r="I18" s="283" t="s">
        <v>229</v>
      </c>
      <c r="J18" s="283"/>
      <c r="K18" s="283"/>
      <c r="L18" s="283"/>
    </row>
    <row r="19" spans="1:12" x14ac:dyDescent="0.2">
      <c r="A19" s="27" t="s">
        <v>59</v>
      </c>
      <c r="C19" s="94">
        <v>0</v>
      </c>
      <c r="D19" s="94">
        <v>0</v>
      </c>
      <c r="E19" s="94">
        <v>0</v>
      </c>
      <c r="F19" s="94">
        <v>0</v>
      </c>
      <c r="I19" s="22" t="s">
        <v>17</v>
      </c>
      <c r="J19" s="22" t="s">
        <v>18</v>
      </c>
      <c r="K19" s="22" t="s">
        <v>19</v>
      </c>
      <c r="L19" s="22" t="s">
        <v>20</v>
      </c>
    </row>
    <row r="20" spans="1:12" x14ac:dyDescent="0.2">
      <c r="A20" s="27" t="s">
        <v>61</v>
      </c>
      <c r="C20" s="94">
        <v>0</v>
      </c>
      <c r="D20" s="94">
        <v>0</v>
      </c>
      <c r="E20" s="94">
        <v>0</v>
      </c>
      <c r="F20" s="94">
        <v>0</v>
      </c>
      <c r="I20" s="22">
        <v>39</v>
      </c>
      <c r="J20" s="22">
        <v>61</v>
      </c>
      <c r="K20" s="22">
        <v>74</v>
      </c>
      <c r="L20" s="22">
        <v>80</v>
      </c>
    </row>
    <row r="21" spans="1:12" x14ac:dyDescent="0.2">
      <c r="A21" s="27" t="s">
        <v>62</v>
      </c>
      <c r="C21" s="94">
        <v>0</v>
      </c>
      <c r="D21" s="94">
        <v>0</v>
      </c>
      <c r="E21" s="94">
        <v>0</v>
      </c>
      <c r="F21" s="94">
        <v>0</v>
      </c>
      <c r="I21" s="22">
        <v>49</v>
      </c>
      <c r="J21" s="22">
        <v>69</v>
      </c>
      <c r="K21" s="22">
        <v>79</v>
      </c>
      <c r="L21" s="22">
        <v>84</v>
      </c>
    </row>
    <row r="22" spans="1:12" x14ac:dyDescent="0.2">
      <c r="A22" s="27" t="s">
        <v>63</v>
      </c>
      <c r="C22" s="94">
        <v>0</v>
      </c>
      <c r="D22" s="94">
        <v>0</v>
      </c>
      <c r="E22" s="94">
        <v>0</v>
      </c>
      <c r="F22" s="94">
        <v>0</v>
      </c>
      <c r="I22" s="22">
        <v>68</v>
      </c>
      <c r="J22" s="22">
        <v>79</v>
      </c>
      <c r="K22" s="22">
        <v>86</v>
      </c>
      <c r="L22" s="22">
        <v>89</v>
      </c>
    </row>
    <row r="23" spans="1:12" x14ac:dyDescent="0.2">
      <c r="A23" s="27" t="s">
        <v>89</v>
      </c>
      <c r="C23" s="94">
        <v>0</v>
      </c>
      <c r="D23" s="94">
        <v>1</v>
      </c>
      <c r="E23" s="94">
        <v>0</v>
      </c>
      <c r="F23" s="94">
        <v>0</v>
      </c>
      <c r="I23" s="22">
        <v>64</v>
      </c>
      <c r="J23" s="22">
        <v>74</v>
      </c>
      <c r="K23" s="22">
        <v>81</v>
      </c>
      <c r="L23" s="22">
        <v>85</v>
      </c>
    </row>
    <row r="24" spans="1:12" x14ac:dyDescent="0.2">
      <c r="A24" s="27" t="s">
        <v>64</v>
      </c>
      <c r="C24" s="94">
        <v>0</v>
      </c>
      <c r="D24" s="94">
        <v>0</v>
      </c>
      <c r="E24" s="94">
        <v>0</v>
      </c>
      <c r="F24" s="94">
        <v>0</v>
      </c>
    </row>
    <row r="25" spans="1:12" x14ac:dyDescent="0.2">
      <c r="A25" s="27" t="s">
        <v>88</v>
      </c>
      <c r="C25" s="103">
        <v>92</v>
      </c>
      <c r="D25" s="103">
        <v>92</v>
      </c>
      <c r="E25" s="103">
        <v>92</v>
      </c>
      <c r="F25" s="103">
        <v>92</v>
      </c>
      <c r="I25" s="98" t="s">
        <v>203</v>
      </c>
      <c r="J25" s="99"/>
      <c r="K25" s="99"/>
      <c r="L25" s="50"/>
    </row>
    <row r="26" spans="1:12" x14ac:dyDescent="0.2">
      <c r="C26" s="22"/>
      <c r="D26" s="20" t="s">
        <v>90</v>
      </c>
      <c r="E26" s="104" t="s">
        <v>92</v>
      </c>
      <c r="F26" s="22" t="s">
        <v>91</v>
      </c>
      <c r="I26" s="100">
        <v>0</v>
      </c>
      <c r="J26" s="99" t="s">
        <v>212</v>
      </c>
      <c r="K26" s="99"/>
      <c r="L26" s="50"/>
    </row>
    <row r="28" spans="1:12" x14ac:dyDescent="0.2">
      <c r="C28" s="105">
        <f>SUM(C19:F23)+SUM(C24:F24)</f>
        <v>1</v>
      </c>
      <c r="D28" s="27" t="s">
        <v>28</v>
      </c>
      <c r="E28" s="20" t="s">
        <v>67</v>
      </c>
      <c r="F28" s="106">
        <f>0.05+0.009*C29*100</f>
        <v>0.05</v>
      </c>
      <c r="I28" s="27" t="s">
        <v>69</v>
      </c>
      <c r="J28" s="27">
        <v>1.25</v>
      </c>
      <c r="K28" s="27" t="s">
        <v>70</v>
      </c>
    </row>
    <row r="29" spans="1:12" x14ac:dyDescent="0.2">
      <c r="C29" s="107">
        <f>(SUM(C19:F19)+SUM(C22:F22)/2+IF(E26="Y",SUM(C24:F24),0))/C28</f>
        <v>0</v>
      </c>
      <c r="E29" s="20" t="s">
        <v>68</v>
      </c>
      <c r="F29" s="108">
        <f>F28*J28*C28*43560/12+I26-IF(E26="N",0.05*J28*SUM(C24:F24)*43560/12,0)</f>
        <v>226.875</v>
      </c>
    </row>
    <row r="30" spans="1:12" x14ac:dyDescent="0.2">
      <c r="C30" s="20" t="s">
        <v>71</v>
      </c>
      <c r="D30" s="105">
        <f>ROUND(((SUM(C19:F19)*98+C20*I20+C21*I21+C22*I22+D20*J20+D21*J21+D22*J22+E20*K20+E21*K21+E22*K22+F20*L20+F21*L21+F22*L22+C24*C25+D24*D25+E24*E25+F24*F25+C23*I23+D23*J23+E23*K23+F23*L23)/C28),0)</f>
        <v>74</v>
      </c>
      <c r="F30" s="34" t="str">
        <f>IF(I26&gt;0,"MANUAL"," ")</f>
        <v xml:space="preserve"> </v>
      </c>
    </row>
    <row r="31" spans="1:12" x14ac:dyDescent="0.2">
      <c r="C31" s="20" t="s">
        <v>224</v>
      </c>
      <c r="D31" s="105">
        <f>ROUND(1000/((10+5*J28+10*1.25*F28)-(10*((1.25*F28)^2+1.25*1.25*F28*J28)^0.5)),0)</f>
        <v>73</v>
      </c>
      <c r="F31" s="20" t="s">
        <v>94</v>
      </c>
      <c r="G31" s="109">
        <f>1.25*F28</f>
        <v>6.25E-2</v>
      </c>
    </row>
    <row r="32" spans="1:12" x14ac:dyDescent="0.2">
      <c r="A32" s="22"/>
    </row>
    <row r="33" spans="1:12" x14ac:dyDescent="0.2">
      <c r="A33" s="110" t="s">
        <v>83</v>
      </c>
      <c r="B33" s="110"/>
      <c r="C33" s="282" t="s">
        <v>16</v>
      </c>
      <c r="D33" s="282"/>
      <c r="E33" s="282"/>
      <c r="F33" s="282"/>
      <c r="G33" s="111"/>
    </row>
    <row r="34" spans="1:12" x14ac:dyDescent="0.2">
      <c r="A34" s="92" t="s">
        <v>60</v>
      </c>
      <c r="B34" s="92"/>
      <c r="C34" s="93" t="s">
        <v>17</v>
      </c>
      <c r="D34" s="93" t="s">
        <v>18</v>
      </c>
      <c r="E34" s="93" t="s">
        <v>19</v>
      </c>
      <c r="F34" s="93" t="s">
        <v>20</v>
      </c>
      <c r="I34" s="283" t="s">
        <v>229</v>
      </c>
      <c r="J34" s="283"/>
      <c r="K34" s="283"/>
      <c r="L34" s="283"/>
    </row>
    <row r="35" spans="1:12" x14ac:dyDescent="0.2">
      <c r="A35" s="27" t="s">
        <v>59</v>
      </c>
      <c r="C35" s="94">
        <v>0</v>
      </c>
      <c r="D35" s="94">
        <v>0.5</v>
      </c>
      <c r="E35" s="94">
        <v>0</v>
      </c>
      <c r="F35" s="94">
        <v>0</v>
      </c>
      <c r="I35" s="22" t="s">
        <v>17</v>
      </c>
      <c r="J35" s="22" t="s">
        <v>18</v>
      </c>
      <c r="K35" s="22" t="s">
        <v>19</v>
      </c>
      <c r="L35" s="22" t="s">
        <v>20</v>
      </c>
    </row>
    <row r="36" spans="1:12" x14ac:dyDescent="0.2">
      <c r="A36" s="27" t="s">
        <v>218</v>
      </c>
      <c r="C36" s="94">
        <v>0</v>
      </c>
      <c r="D36" s="94">
        <v>0.5</v>
      </c>
      <c r="E36" s="94">
        <v>0</v>
      </c>
      <c r="F36" s="94">
        <v>0</v>
      </c>
      <c r="I36" s="22">
        <v>39</v>
      </c>
      <c r="J36" s="22">
        <v>61</v>
      </c>
      <c r="K36" s="22">
        <v>74</v>
      </c>
      <c r="L36" s="22">
        <v>80</v>
      </c>
    </row>
    <row r="37" spans="1:12" x14ac:dyDescent="0.2">
      <c r="A37" s="27" t="s">
        <v>217</v>
      </c>
      <c r="C37" s="94">
        <v>0</v>
      </c>
      <c r="D37" s="94">
        <v>0</v>
      </c>
      <c r="E37" s="94">
        <v>0</v>
      </c>
      <c r="F37" s="94">
        <v>0</v>
      </c>
      <c r="I37" s="22">
        <v>49</v>
      </c>
      <c r="J37" s="22">
        <v>69</v>
      </c>
      <c r="K37" s="22">
        <v>79</v>
      </c>
      <c r="L37" s="22">
        <v>84</v>
      </c>
    </row>
    <row r="38" spans="1:12" x14ac:dyDescent="0.2">
      <c r="A38" s="27" t="s">
        <v>63</v>
      </c>
      <c r="C38" s="94">
        <v>0</v>
      </c>
      <c r="D38" s="94">
        <v>0</v>
      </c>
      <c r="E38" s="94">
        <v>0</v>
      </c>
      <c r="F38" s="94">
        <v>0</v>
      </c>
      <c r="I38" s="22">
        <v>68</v>
      </c>
      <c r="J38" s="22">
        <v>79</v>
      </c>
      <c r="K38" s="22">
        <v>86</v>
      </c>
      <c r="L38" s="22">
        <v>89</v>
      </c>
    </row>
    <row r="39" spans="1:12" x14ac:dyDescent="0.2">
      <c r="A39" s="27" t="s">
        <v>89</v>
      </c>
      <c r="C39" s="94">
        <v>0</v>
      </c>
      <c r="D39" s="94">
        <v>0</v>
      </c>
      <c r="E39" s="94">
        <v>0</v>
      </c>
      <c r="F39" s="94">
        <v>0</v>
      </c>
      <c r="I39" s="22">
        <v>64</v>
      </c>
      <c r="J39" s="22">
        <v>74</v>
      </c>
      <c r="K39" s="22">
        <v>81</v>
      </c>
      <c r="L39" s="22">
        <v>85</v>
      </c>
    </row>
    <row r="40" spans="1:12" x14ac:dyDescent="0.2">
      <c r="A40" s="27" t="s">
        <v>64</v>
      </c>
      <c r="C40" s="94">
        <v>0</v>
      </c>
      <c r="D40" s="94">
        <v>0</v>
      </c>
      <c r="E40" s="94">
        <v>0</v>
      </c>
      <c r="F40" s="94">
        <v>0</v>
      </c>
    </row>
    <row r="41" spans="1:12" x14ac:dyDescent="0.2">
      <c r="A41" s="27" t="s">
        <v>88</v>
      </c>
      <c r="C41" s="103">
        <v>92</v>
      </c>
      <c r="D41" s="103">
        <v>92</v>
      </c>
      <c r="E41" s="103">
        <v>92</v>
      </c>
      <c r="F41" s="103">
        <v>92</v>
      </c>
      <c r="I41" s="98" t="s">
        <v>203</v>
      </c>
      <c r="J41" s="99"/>
      <c r="K41" s="99"/>
      <c r="L41" s="50"/>
    </row>
    <row r="42" spans="1:12" x14ac:dyDescent="0.2">
      <c r="C42" s="22"/>
      <c r="D42" s="20" t="s">
        <v>90</v>
      </c>
      <c r="E42" s="104" t="s">
        <v>92</v>
      </c>
      <c r="F42" s="22" t="s">
        <v>91</v>
      </c>
      <c r="I42" s="100">
        <v>0</v>
      </c>
      <c r="J42" s="99" t="s">
        <v>212</v>
      </c>
      <c r="K42" s="99"/>
      <c r="L42" s="50"/>
    </row>
    <row r="44" spans="1:12" x14ac:dyDescent="0.2">
      <c r="B44" s="20" t="s">
        <v>65</v>
      </c>
      <c r="C44" s="112">
        <f>SUM(C35:F39)+SUM(C40:F40)</f>
        <v>1</v>
      </c>
      <c r="D44" s="27" t="s">
        <v>28</v>
      </c>
      <c r="E44" s="20" t="s">
        <v>67</v>
      </c>
      <c r="F44" s="113">
        <f>0.05+0.009*C45*100</f>
        <v>0.49999999999999994</v>
      </c>
      <c r="I44" s="27" t="s">
        <v>69</v>
      </c>
      <c r="J44" s="27">
        <v>1.25</v>
      </c>
      <c r="K44" s="27" t="s">
        <v>70</v>
      </c>
    </row>
    <row r="45" spans="1:12" x14ac:dyDescent="0.2">
      <c r="B45" s="20" t="s">
        <v>66</v>
      </c>
      <c r="C45" s="114">
        <f>(SUM(C35:F35)+SUM(C38:F38)/2+IF(E42="Y",SUM(C40:F40),0))/C44</f>
        <v>0.5</v>
      </c>
      <c r="E45" s="20" t="s">
        <v>68</v>
      </c>
      <c r="F45" s="115">
        <f>F44*J44*C44*43560/12+I42-IF(E42="N",0.05*J44*SUM(C40:F40)*43560/12,0)</f>
        <v>2268.7499999999995</v>
      </c>
    </row>
    <row r="46" spans="1:12" x14ac:dyDescent="0.2">
      <c r="C46" s="20" t="s">
        <v>71</v>
      </c>
      <c r="D46" s="112">
        <f>ROUND(((SUM(C35:F35)*98+C36*I36+C37*I37+C38*I38+D36*J36+D37*J37+D38*J38+E36*K36+E37*K37+E38*K38+F36*L36+F37*L37+F38*L38+C40*C41+D40*D41+E40*E41+F40*F41+C39*I39+D39*J39+E39*K39+F39*L39)/C44),0)</f>
        <v>80</v>
      </c>
      <c r="F46" s="34" t="str">
        <f>IF(I42&gt;0,"MANUAL"," ")</f>
        <v xml:space="preserve"> </v>
      </c>
    </row>
    <row r="47" spans="1:12" x14ac:dyDescent="0.2">
      <c r="C47" s="20" t="s">
        <v>224</v>
      </c>
      <c r="D47" s="112">
        <f>ROUND(1000/((10+5*J44+10*1.25*F44)-(10*((1.25*F44)^2+1.25*1.25*F44*J44)^0.5)),0)</f>
        <v>93</v>
      </c>
      <c r="F47" s="20" t="s">
        <v>94</v>
      </c>
      <c r="G47" s="116">
        <f>1.25*F44</f>
        <v>0.62499999999999989</v>
      </c>
    </row>
    <row r="48" spans="1:12" x14ac:dyDescent="0.2">
      <c r="A48" s="117" t="s">
        <v>225</v>
      </c>
    </row>
    <row r="49" spans="1:7" x14ac:dyDescent="0.2">
      <c r="A49" s="117" t="s">
        <v>93</v>
      </c>
    </row>
    <row r="50" spans="1:7" ht="12.75" thickBot="1" x14ac:dyDescent="0.25"/>
    <row r="51" spans="1:7" ht="15" x14ac:dyDescent="0.25">
      <c r="A51" s="41" t="s">
        <v>238</v>
      </c>
      <c r="B51" s="41"/>
      <c r="C51" s="41"/>
      <c r="D51" s="41"/>
      <c r="E51" s="41"/>
      <c r="F51" s="41"/>
      <c r="G51" s="41"/>
    </row>
    <row r="52" spans="1:7" ht="15" x14ac:dyDescent="0.25">
      <c r="A52" s="42" t="s">
        <v>239</v>
      </c>
      <c r="B52" s="42"/>
      <c r="C52" s="42"/>
      <c r="D52" s="42"/>
      <c r="E52" s="42"/>
      <c r="F52" s="42"/>
      <c r="G52" s="43" t="str">
        <f>'CL_1 - Site Screening'!J70</f>
        <v>IDALS: Issue Date: 08/03/2020</v>
      </c>
    </row>
  </sheetData>
  <sheetProtection algorithmName="SHA-512" hashValue="ZAti6Z/mTKCHeUd5QPF6V+L8tpGDZxh3lqgIg07M/WZ9cLVDIwtgYlc8qUDPF5s7e57eohvDqGlNDjGodXHwrw==" saltValue="5V3L2OC/7i5LMzP1WwS3iA==" spinCount="100000" sheet="1" selectLockedCells="1"/>
  <mergeCells count="9">
    <mergeCell ref="A1:G1"/>
    <mergeCell ref="C33:F33"/>
    <mergeCell ref="I34:L34"/>
    <mergeCell ref="C9:F9"/>
    <mergeCell ref="C17:F17"/>
    <mergeCell ref="I18:L18"/>
    <mergeCell ref="B2:E2"/>
    <mergeCell ref="A6:G6"/>
    <mergeCell ref="A7:G7"/>
  </mergeCells>
  <printOptions horizontalCentered="1" vertic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S78"/>
  <sheetViews>
    <sheetView view="pageBreakPreview" zoomScaleNormal="100" zoomScaleSheetLayoutView="100" workbookViewId="0">
      <selection activeCell="B19" sqref="B19"/>
    </sheetView>
  </sheetViews>
  <sheetFormatPr defaultColWidth="8.85546875" defaultRowHeight="12.75" x14ac:dyDescent="0.2"/>
  <cols>
    <col min="1" max="1" width="10.85546875" style="119" customWidth="1"/>
    <col min="2" max="8" width="10.7109375" style="119" customWidth="1"/>
    <col min="9" max="9" width="8.85546875" style="119"/>
    <col min="10" max="10" width="15.42578125" style="119" customWidth="1"/>
    <col min="11" max="16384" width="8.85546875" style="119"/>
  </cols>
  <sheetData>
    <row r="1" spans="1:9" x14ac:dyDescent="0.2">
      <c r="A1" s="275" t="s">
        <v>194</v>
      </c>
      <c r="B1" s="275"/>
      <c r="C1" s="275"/>
      <c r="D1" s="275"/>
      <c r="E1" s="275"/>
      <c r="F1" s="275"/>
      <c r="G1" s="275"/>
      <c r="H1" s="275"/>
      <c r="I1" s="118"/>
    </row>
    <row r="2" spans="1:9" x14ac:dyDescent="0.2">
      <c r="A2" s="119" t="s">
        <v>147</v>
      </c>
      <c r="B2" s="293">
        <f>'CL_1 - Site Screening'!C3</f>
        <v>0</v>
      </c>
      <c r="C2" s="293"/>
      <c r="D2" s="293"/>
      <c r="E2" s="293"/>
      <c r="F2" s="119" t="s">
        <v>98</v>
      </c>
      <c r="G2" s="292">
        <f ca="1">'CL_1 - Site Screening'!G5</f>
        <v>44608</v>
      </c>
      <c r="H2" s="292"/>
    </row>
    <row r="3" spans="1:9" s="121" customFormat="1" x14ac:dyDescent="0.2">
      <c r="A3" s="120" t="s">
        <v>148</v>
      </c>
      <c r="B3" s="120"/>
      <c r="C3" s="120"/>
      <c r="D3" s="120"/>
      <c r="E3" s="120"/>
      <c r="F3" s="120"/>
      <c r="G3" s="120"/>
      <c r="H3" s="120"/>
    </row>
    <row r="5" spans="1:9" x14ac:dyDescent="0.2">
      <c r="A5" s="122" t="s">
        <v>84</v>
      </c>
      <c r="B5" s="122"/>
      <c r="C5" s="122"/>
      <c r="D5" s="122"/>
      <c r="E5" s="122"/>
      <c r="F5" s="122"/>
      <c r="G5" s="122"/>
      <c r="H5" s="122"/>
    </row>
    <row r="7" spans="1:9" x14ac:dyDescent="0.2">
      <c r="B7" s="123" t="s">
        <v>65</v>
      </c>
      <c r="C7" s="53">
        <f>'DE_1 - Watershed Info'!C44</f>
        <v>1</v>
      </c>
      <c r="D7" s="119" t="s">
        <v>28</v>
      </c>
      <c r="E7" s="123" t="s">
        <v>67</v>
      </c>
      <c r="F7" s="124">
        <f>'DE_1 - Watershed Info'!F44</f>
        <v>0.49999999999999994</v>
      </c>
    </row>
    <row r="8" spans="1:9" x14ac:dyDescent="0.2">
      <c r="B8" s="123" t="s">
        <v>66</v>
      </c>
      <c r="C8" s="125">
        <f>'DE_1 - Watershed Info'!C45</f>
        <v>0.5</v>
      </c>
      <c r="E8" s="123" t="s">
        <v>68</v>
      </c>
      <c r="F8" s="126">
        <f>'DE_1 - Watershed Info'!F45</f>
        <v>2268.7499999999995</v>
      </c>
      <c r="G8" s="119" t="s">
        <v>81</v>
      </c>
    </row>
    <row r="9" spans="1:9" x14ac:dyDescent="0.2">
      <c r="C9" s="123" t="s">
        <v>71</v>
      </c>
      <c r="D9" s="53">
        <f>'DE_1 - Watershed Info'!D46</f>
        <v>80</v>
      </c>
      <c r="E9" s="123" t="s">
        <v>94</v>
      </c>
      <c r="F9" s="127">
        <f>'DE_1 - Watershed Info'!G47</f>
        <v>0.62499999999999989</v>
      </c>
      <c r="G9" s="119" t="s">
        <v>95</v>
      </c>
    </row>
    <row r="10" spans="1:9" x14ac:dyDescent="0.2">
      <c r="C10" s="123" t="s">
        <v>72</v>
      </c>
      <c r="D10" s="53">
        <f>'DE_1 - Watershed Info'!D47</f>
        <v>93</v>
      </c>
    </row>
    <row r="12" spans="1:9" x14ac:dyDescent="0.2">
      <c r="A12" s="122" t="s">
        <v>259</v>
      </c>
      <c r="B12" s="122"/>
      <c r="C12" s="122"/>
      <c r="D12" s="122"/>
      <c r="E12" s="122"/>
      <c r="F12" s="122"/>
      <c r="G12" s="122"/>
      <c r="H12" s="122"/>
    </row>
    <row r="13" spans="1:9" x14ac:dyDescent="0.2">
      <c r="A13" s="294" t="s">
        <v>291</v>
      </c>
      <c r="B13" s="294"/>
      <c r="C13" s="294"/>
      <c r="D13" s="294"/>
      <c r="E13" s="294"/>
      <c r="F13" s="294"/>
      <c r="G13" s="294"/>
      <c r="H13" s="294"/>
    </row>
    <row r="15" spans="1:9" x14ac:dyDescent="0.2">
      <c r="B15" s="128"/>
      <c r="C15" s="291" t="s">
        <v>230</v>
      </c>
      <c r="D15" s="291"/>
      <c r="E15" s="291" t="s">
        <v>76</v>
      </c>
      <c r="F15" s="291"/>
      <c r="G15" s="291" t="s">
        <v>77</v>
      </c>
      <c r="H15" s="291"/>
    </row>
    <row r="16" spans="1:9" x14ac:dyDescent="0.2">
      <c r="B16" s="129" t="s">
        <v>75</v>
      </c>
      <c r="C16" s="129" t="s">
        <v>78</v>
      </c>
      <c r="D16" s="129" t="s">
        <v>79</v>
      </c>
      <c r="E16" s="129" t="s">
        <v>78</v>
      </c>
      <c r="F16" s="129" t="s">
        <v>79</v>
      </c>
      <c r="G16" s="129" t="s">
        <v>78</v>
      </c>
      <c r="H16" s="129" t="s">
        <v>79</v>
      </c>
    </row>
    <row r="17" spans="1:8" x14ac:dyDescent="0.2">
      <c r="A17" s="130" t="s">
        <v>73</v>
      </c>
      <c r="B17" s="131" t="s">
        <v>70</v>
      </c>
      <c r="C17" s="131" t="s">
        <v>80</v>
      </c>
      <c r="D17" s="131" t="s">
        <v>81</v>
      </c>
      <c r="E17" s="131" t="s">
        <v>80</v>
      </c>
      <c r="F17" s="131" t="s">
        <v>81</v>
      </c>
      <c r="G17" s="131" t="s">
        <v>80</v>
      </c>
      <c r="H17" s="131" t="s">
        <v>81</v>
      </c>
    </row>
    <row r="18" spans="1:8" hidden="1" x14ac:dyDescent="0.2">
      <c r="A18" s="53" t="s">
        <v>74</v>
      </c>
      <c r="B18" s="132">
        <v>1.25</v>
      </c>
      <c r="C18" s="133"/>
      <c r="D18" s="134"/>
      <c r="E18" s="135"/>
      <c r="F18" s="136"/>
      <c r="G18" s="137">
        <v>61</v>
      </c>
      <c r="H18" s="138">
        <v>205900</v>
      </c>
    </row>
    <row r="19" spans="1:8" x14ac:dyDescent="0.2">
      <c r="A19" s="53">
        <v>1</v>
      </c>
      <c r="B19" s="132"/>
      <c r="C19" s="139"/>
      <c r="D19" s="140"/>
      <c r="E19" s="141"/>
      <c r="F19" s="142"/>
      <c r="G19" s="137"/>
      <c r="H19" s="138"/>
    </row>
    <row r="20" spans="1:8" x14ac:dyDescent="0.2">
      <c r="A20" s="53">
        <v>2</v>
      </c>
      <c r="B20" s="132"/>
      <c r="C20" s="139"/>
      <c r="D20" s="140"/>
      <c r="E20" s="141"/>
      <c r="F20" s="142"/>
      <c r="G20" s="137"/>
      <c r="H20" s="138"/>
    </row>
    <row r="21" spans="1:8" x14ac:dyDescent="0.2">
      <c r="A21" s="53">
        <v>5</v>
      </c>
      <c r="B21" s="132"/>
      <c r="C21" s="139"/>
      <c r="D21" s="140"/>
      <c r="E21" s="141"/>
      <c r="F21" s="142"/>
      <c r="G21" s="137"/>
      <c r="H21" s="138"/>
    </row>
    <row r="22" spans="1:8" x14ac:dyDescent="0.2">
      <c r="A22" s="53">
        <v>10</v>
      </c>
      <c r="B22" s="132"/>
      <c r="C22" s="139"/>
      <c r="D22" s="140"/>
      <c r="E22" s="141"/>
      <c r="F22" s="142"/>
      <c r="G22" s="137"/>
      <c r="H22" s="138"/>
    </row>
    <row r="23" spans="1:8" x14ac:dyDescent="0.2">
      <c r="A23" s="53">
        <v>25</v>
      </c>
      <c r="B23" s="132"/>
      <c r="C23" s="139"/>
      <c r="D23" s="140"/>
      <c r="E23" s="141"/>
      <c r="F23" s="142"/>
      <c r="G23" s="137"/>
      <c r="H23" s="138"/>
    </row>
    <row r="24" spans="1:8" x14ac:dyDescent="0.2">
      <c r="A24" s="53">
        <v>50</v>
      </c>
      <c r="B24" s="132"/>
      <c r="C24" s="139"/>
      <c r="D24" s="140"/>
      <c r="E24" s="141"/>
      <c r="F24" s="142"/>
      <c r="G24" s="137"/>
      <c r="H24" s="138"/>
    </row>
    <row r="25" spans="1:8" x14ac:dyDescent="0.2">
      <c r="A25" s="53">
        <v>100</v>
      </c>
      <c r="B25" s="132"/>
      <c r="C25" s="139"/>
      <c r="D25" s="140"/>
      <c r="E25" s="141"/>
      <c r="F25" s="142"/>
      <c r="G25" s="137"/>
      <c r="H25" s="138"/>
    </row>
    <row r="26" spans="1:8" x14ac:dyDescent="0.2">
      <c r="A26" s="53"/>
      <c r="B26" s="143"/>
      <c r="C26" s="144"/>
      <c r="D26" s="145"/>
      <c r="E26" s="146"/>
      <c r="F26" s="145"/>
      <c r="G26" s="146"/>
      <c r="H26" s="147"/>
    </row>
    <row r="27" spans="1:8" x14ac:dyDescent="0.2">
      <c r="C27" s="148"/>
      <c r="D27" s="149" t="s">
        <v>74</v>
      </c>
      <c r="E27" s="19" t="s">
        <v>228</v>
      </c>
    </row>
    <row r="28" spans="1:8" x14ac:dyDescent="0.2">
      <c r="A28" s="122" t="s">
        <v>226</v>
      </c>
      <c r="B28" s="122"/>
      <c r="C28" s="150"/>
      <c r="D28" s="150" t="s">
        <v>94</v>
      </c>
      <c r="E28" s="151">
        <f>H19/43560/C7*12</f>
        <v>0</v>
      </c>
      <c r="F28" s="119" t="s">
        <v>95</v>
      </c>
    </row>
    <row r="29" spans="1:8" x14ac:dyDescent="0.2">
      <c r="C29" s="152"/>
      <c r="D29" s="152" t="s">
        <v>227</v>
      </c>
      <c r="E29" s="153" t="e">
        <f>G19*640/C7/E28</f>
        <v>#DIV/0!</v>
      </c>
      <c r="F29" s="119" t="s">
        <v>100</v>
      </c>
    </row>
    <row r="30" spans="1:8" x14ac:dyDescent="0.2">
      <c r="C30" s="152"/>
      <c r="D30" s="152" t="s">
        <v>101</v>
      </c>
      <c r="E30" s="154"/>
      <c r="F30" s="119" t="s">
        <v>232</v>
      </c>
    </row>
    <row r="31" spans="1:8" x14ac:dyDescent="0.2">
      <c r="C31" s="152"/>
      <c r="D31" s="152" t="s">
        <v>102</v>
      </c>
      <c r="E31" s="151">
        <f>E30*G19</f>
        <v>0</v>
      </c>
      <c r="F31" s="119" t="s">
        <v>80</v>
      </c>
    </row>
    <row r="33" spans="1:19" x14ac:dyDescent="0.2">
      <c r="A33" s="122" t="s">
        <v>146</v>
      </c>
      <c r="B33" s="122"/>
      <c r="C33" s="122"/>
      <c r="D33" s="122"/>
      <c r="E33" s="122"/>
      <c r="F33" s="122"/>
      <c r="G33" s="122"/>
      <c r="H33" s="122"/>
    </row>
    <row r="34" spans="1:19" x14ac:dyDescent="0.2">
      <c r="A34" s="34" t="str">
        <f>IF(J37&gt;0,"MANUAL",IF(J38&gt;0,"MANUAL",IF(J39&gt;0,"MANUAL",IF(J40&gt;0,"MANUAL",IF(J41&gt;0,"MANUAL",IF(J42&gt;0,"MANUAL",IF(J43&gt;0,"MANUAL",IF(J44&gt;0,"MANUAL"," "))))))))</f>
        <v xml:space="preserve"> </v>
      </c>
      <c r="B34" s="34"/>
      <c r="C34" s="34"/>
      <c r="D34" s="34"/>
      <c r="E34" s="34"/>
      <c r="F34" s="34"/>
      <c r="G34" s="34"/>
      <c r="H34" s="34"/>
      <c r="J34" s="155" t="s">
        <v>203</v>
      </c>
    </row>
    <row r="35" spans="1:19" x14ac:dyDescent="0.2">
      <c r="A35" s="156"/>
      <c r="B35" s="157" t="s">
        <v>103</v>
      </c>
      <c r="C35" s="157" t="s">
        <v>104</v>
      </c>
      <c r="D35" s="157" t="s">
        <v>105</v>
      </c>
      <c r="E35" s="157" t="s">
        <v>106</v>
      </c>
      <c r="F35" s="157" t="s">
        <v>107</v>
      </c>
      <c r="G35" s="157" t="s">
        <v>108</v>
      </c>
      <c r="H35" s="157" t="s">
        <v>109</v>
      </c>
      <c r="J35" s="158" t="s">
        <v>213</v>
      </c>
      <c r="S35" s="157" t="s">
        <v>103</v>
      </c>
    </row>
    <row r="36" spans="1:19" x14ac:dyDescent="0.2">
      <c r="A36" s="159" t="s">
        <v>73</v>
      </c>
      <c r="B36" s="159" t="s">
        <v>80</v>
      </c>
      <c r="C36" s="159" t="s">
        <v>80</v>
      </c>
      <c r="D36" s="159"/>
      <c r="E36" s="159"/>
      <c r="F36" s="159" t="s">
        <v>81</v>
      </c>
      <c r="G36" s="159" t="s">
        <v>81</v>
      </c>
      <c r="H36" s="159" t="s">
        <v>81</v>
      </c>
      <c r="J36" s="160" t="s">
        <v>80</v>
      </c>
      <c r="S36" s="159" t="s">
        <v>80</v>
      </c>
    </row>
    <row r="37" spans="1:19" hidden="1" x14ac:dyDescent="0.2">
      <c r="A37" s="161" t="s">
        <v>74</v>
      </c>
      <c r="B37" s="162" t="str">
        <f>IF('CL_2 - Design Summary'!F14="Y",IF(S37&lt;1,ROUND(S37,2),IF(S37&lt;10,ROUND(S37,1),ROUND(S37,0))),"NA")</f>
        <v>NA</v>
      </c>
      <c r="C37" s="163">
        <f>IF(G18&lt;1,ROUND(G18,2),IF(G18&lt;10,ROUND(G18,1),ROUND(G18,0)))</f>
        <v>61</v>
      </c>
      <c r="D37" s="164" t="str">
        <f>IF(B37="NA","NA",S37/C37)</f>
        <v>NA</v>
      </c>
      <c r="E37" s="165" t="str">
        <f>IF(B37="NA","NA",0.683-1.43*D37+1.64*D37^2-0.804*D37^3)</f>
        <v>NA</v>
      </c>
      <c r="F37" s="166">
        <f t="shared" ref="F37:F44" si="0">H18</f>
        <v>205900</v>
      </c>
      <c r="G37" s="167" t="str">
        <f>IF(B37="NA","NA",E37*F37)</f>
        <v>NA</v>
      </c>
      <c r="H37" s="167" t="str">
        <f>IF(B37="NA","NA",ROUND(G37*1.15,-2))</f>
        <v>NA</v>
      </c>
      <c r="J37" s="168">
        <v>0</v>
      </c>
      <c r="S37" s="169" t="str">
        <f>IF(J37=0,D31,J37)</f>
        <v>qo:</v>
      </c>
    </row>
    <row r="38" spans="1:19" x14ac:dyDescent="0.2">
      <c r="A38" s="53">
        <v>1</v>
      </c>
      <c r="B38" s="53" t="str">
        <f>IF('CL_2 - Design Summary'!F14="Y",IF(S38&lt;1,ROUND(S38,2),IF(S38&lt;10,ROUND(S38,1),ROUND(S38,0))),"NA")</f>
        <v>NA</v>
      </c>
      <c r="C38" s="170">
        <f>IF(G19&lt;1,ROUND(G19,2),IF(G19&lt;10,ROUND(G19,1),ROUND(G19,0)))</f>
        <v>0</v>
      </c>
      <c r="D38" s="151" t="str">
        <f>IF(B38="NA","NA",S38/C38)</f>
        <v>NA</v>
      </c>
      <c r="E38" s="171" t="str">
        <f>IF(B38="NA","NA",0.683-1.43*D38+1.64*D38^2-0.804*D38^3)</f>
        <v>NA</v>
      </c>
      <c r="F38" s="172">
        <f t="shared" si="0"/>
        <v>0</v>
      </c>
      <c r="G38" s="173" t="str">
        <f>IF(B38="NA","NA",E38*F38)</f>
        <v>NA</v>
      </c>
      <c r="H38" s="173" t="str">
        <f>IF(B38="NA","NA",ROUND(G38*1.15,-2))</f>
        <v>NA</v>
      </c>
      <c r="J38" s="168">
        <v>0</v>
      </c>
      <c r="S38" s="151">
        <f>IF(J38=0,E31,J38)</f>
        <v>0</v>
      </c>
    </row>
    <row r="39" spans="1:19" x14ac:dyDescent="0.2">
      <c r="A39" s="53">
        <v>2</v>
      </c>
      <c r="B39" s="53">
        <f t="shared" ref="B39:B43" si="1">IF(S39&lt;1,ROUND(S39,2),IF(S39&lt;10,ROUND(S39,1),ROUND(S39,0)))</f>
        <v>0</v>
      </c>
      <c r="C39" s="170">
        <f t="shared" ref="C39:C43" si="2">IF(G20&lt;1,ROUND(G20,2),IF(G20&lt;10,ROUND(G20,1),ROUND(G20,0)))</f>
        <v>0</v>
      </c>
      <c r="D39" s="151" t="e">
        <f t="shared" ref="D39:D44" si="3">S39/C39</f>
        <v>#DIV/0!</v>
      </c>
      <c r="E39" s="171" t="e">
        <f t="shared" ref="E39:E44" si="4">0.683-1.43*D39+1.64*D39^2-0.804*D39^3</f>
        <v>#DIV/0!</v>
      </c>
      <c r="F39" s="172">
        <f t="shared" si="0"/>
        <v>0</v>
      </c>
      <c r="G39" s="173" t="e">
        <f t="shared" ref="G39:G44" si="5">E39*F39</f>
        <v>#DIV/0!</v>
      </c>
      <c r="H39" s="173" t="e">
        <f t="shared" ref="H39:H44" si="6">ROUND(G39*1.15,-2)</f>
        <v>#DIV/0!</v>
      </c>
      <c r="J39" s="168">
        <v>0</v>
      </c>
      <c r="S39" s="151">
        <f>IF(J39=0,MIN(C20,E$21),J39)</f>
        <v>0</v>
      </c>
    </row>
    <row r="40" spans="1:19" x14ac:dyDescent="0.2">
      <c r="A40" s="53">
        <v>5</v>
      </c>
      <c r="B40" s="53">
        <f t="shared" si="1"/>
        <v>0</v>
      </c>
      <c r="C40" s="170">
        <f t="shared" si="2"/>
        <v>0</v>
      </c>
      <c r="D40" s="151" t="e">
        <f t="shared" si="3"/>
        <v>#DIV/0!</v>
      </c>
      <c r="E40" s="171" t="e">
        <f t="shared" si="4"/>
        <v>#DIV/0!</v>
      </c>
      <c r="F40" s="172">
        <f t="shared" si="0"/>
        <v>0</v>
      </c>
      <c r="G40" s="173" t="e">
        <f t="shared" si="5"/>
        <v>#DIV/0!</v>
      </c>
      <c r="H40" s="173" t="e">
        <f t="shared" si="6"/>
        <v>#DIV/0!</v>
      </c>
      <c r="J40" s="168">
        <v>0</v>
      </c>
      <c r="S40" s="151">
        <f t="shared" ref="S40:S44" si="7">IF(J40=0,MIN(C21,E$21),J40)</f>
        <v>0</v>
      </c>
    </row>
    <row r="41" spans="1:19" x14ac:dyDescent="0.2">
      <c r="A41" s="53">
        <v>10</v>
      </c>
      <c r="B41" s="53">
        <f t="shared" si="1"/>
        <v>0</v>
      </c>
      <c r="C41" s="170">
        <f t="shared" si="2"/>
        <v>0</v>
      </c>
      <c r="D41" s="151" t="e">
        <f t="shared" si="3"/>
        <v>#DIV/0!</v>
      </c>
      <c r="E41" s="171" t="e">
        <f t="shared" si="4"/>
        <v>#DIV/0!</v>
      </c>
      <c r="F41" s="172">
        <f t="shared" si="0"/>
        <v>0</v>
      </c>
      <c r="G41" s="173" t="e">
        <f t="shared" si="5"/>
        <v>#DIV/0!</v>
      </c>
      <c r="H41" s="173" t="e">
        <f t="shared" si="6"/>
        <v>#DIV/0!</v>
      </c>
      <c r="J41" s="168">
        <v>0</v>
      </c>
      <c r="S41" s="151">
        <f t="shared" si="7"/>
        <v>0</v>
      </c>
    </row>
    <row r="42" spans="1:19" x14ac:dyDescent="0.2">
      <c r="A42" s="53">
        <v>25</v>
      </c>
      <c r="B42" s="53">
        <f t="shared" si="1"/>
        <v>0</v>
      </c>
      <c r="C42" s="170">
        <f t="shared" si="2"/>
        <v>0</v>
      </c>
      <c r="D42" s="151" t="e">
        <f t="shared" si="3"/>
        <v>#DIV/0!</v>
      </c>
      <c r="E42" s="171" t="e">
        <f t="shared" si="4"/>
        <v>#DIV/0!</v>
      </c>
      <c r="F42" s="172">
        <f t="shared" si="0"/>
        <v>0</v>
      </c>
      <c r="G42" s="173" t="e">
        <f t="shared" si="5"/>
        <v>#DIV/0!</v>
      </c>
      <c r="H42" s="173" t="e">
        <f t="shared" si="6"/>
        <v>#DIV/0!</v>
      </c>
      <c r="J42" s="168">
        <v>0</v>
      </c>
      <c r="S42" s="151">
        <f t="shared" si="7"/>
        <v>0</v>
      </c>
    </row>
    <row r="43" spans="1:19" x14ac:dyDescent="0.2">
      <c r="A43" s="53">
        <v>50</v>
      </c>
      <c r="B43" s="53">
        <f t="shared" si="1"/>
        <v>0</v>
      </c>
      <c r="C43" s="170">
        <f t="shared" si="2"/>
        <v>0</v>
      </c>
      <c r="D43" s="151" t="e">
        <f t="shared" si="3"/>
        <v>#DIV/0!</v>
      </c>
      <c r="E43" s="171" t="e">
        <f t="shared" si="4"/>
        <v>#DIV/0!</v>
      </c>
      <c r="F43" s="172">
        <f t="shared" si="0"/>
        <v>0</v>
      </c>
      <c r="G43" s="173" t="e">
        <f t="shared" si="5"/>
        <v>#DIV/0!</v>
      </c>
      <c r="H43" s="173" t="e">
        <f t="shared" si="6"/>
        <v>#DIV/0!</v>
      </c>
      <c r="J43" s="168">
        <v>0</v>
      </c>
      <c r="S43" s="151">
        <f t="shared" si="7"/>
        <v>0</v>
      </c>
    </row>
    <row r="44" spans="1:19" x14ac:dyDescent="0.2">
      <c r="A44" s="53">
        <v>100</v>
      </c>
      <c r="B44" s="53">
        <f t="shared" ref="B44" si="8">IF(S44&lt;1,ROUND(S44,2),IF(S44&lt;10,ROUND(S44,1),ROUND(S44,0)))</f>
        <v>0</v>
      </c>
      <c r="C44" s="170">
        <f>IF(G25&lt;1,ROUND(G25,2),IF(G25&lt;10,ROUND(G25,1),ROUND(G25,0)))</f>
        <v>0</v>
      </c>
      <c r="D44" s="151" t="e">
        <f t="shared" si="3"/>
        <v>#DIV/0!</v>
      </c>
      <c r="E44" s="171" t="e">
        <f t="shared" si="4"/>
        <v>#DIV/0!</v>
      </c>
      <c r="F44" s="172">
        <f t="shared" si="0"/>
        <v>0</v>
      </c>
      <c r="G44" s="173" t="e">
        <f t="shared" si="5"/>
        <v>#DIV/0!</v>
      </c>
      <c r="H44" s="173" t="e">
        <f t="shared" si="6"/>
        <v>#DIV/0!</v>
      </c>
      <c r="J44" s="174">
        <v>0</v>
      </c>
      <c r="S44" s="151">
        <f t="shared" si="7"/>
        <v>0</v>
      </c>
    </row>
    <row r="45" spans="1:19" ht="13.5" thickBot="1" x14ac:dyDescent="0.25">
      <c r="A45" s="53"/>
      <c r="B45" s="53"/>
      <c r="C45" s="170"/>
      <c r="D45" s="151"/>
      <c r="E45" s="171"/>
      <c r="F45" s="172"/>
      <c r="G45" s="173"/>
      <c r="H45" s="173"/>
      <c r="J45" s="175"/>
      <c r="S45" s="151"/>
    </row>
    <row r="46" spans="1:19" ht="15" x14ac:dyDescent="0.25">
      <c r="A46" s="41" t="s">
        <v>240</v>
      </c>
      <c r="B46" s="41"/>
      <c r="C46" s="41"/>
      <c r="D46" s="41"/>
      <c r="E46" s="41"/>
      <c r="F46" s="41"/>
      <c r="G46" s="41"/>
      <c r="H46" s="176"/>
      <c r="J46" s="175"/>
      <c r="S46" s="151"/>
    </row>
    <row r="47" spans="1:19" ht="15" x14ac:dyDescent="0.25">
      <c r="A47" s="42" t="s">
        <v>241</v>
      </c>
      <c r="B47" s="42"/>
      <c r="C47" s="42"/>
      <c r="D47" s="42"/>
      <c r="E47" s="42"/>
      <c r="F47" s="42"/>
      <c r="G47" s="42"/>
      <c r="H47" s="43" t="str">
        <f>'CL_1 - Site Screening'!J70</f>
        <v>IDALS: Issue Date: 08/03/2020</v>
      </c>
      <c r="J47" s="175"/>
      <c r="S47" s="151"/>
    </row>
    <row r="48" spans="1:19" x14ac:dyDescent="0.2">
      <c r="B48" s="177"/>
    </row>
    <row r="50" spans="1:8" x14ac:dyDescent="0.2">
      <c r="A50" s="290" t="s">
        <v>231</v>
      </c>
      <c r="B50" s="290"/>
      <c r="C50" s="290"/>
      <c r="D50" s="290"/>
      <c r="E50" s="290"/>
      <c r="F50" s="290"/>
      <c r="G50" s="290"/>
      <c r="H50" s="290"/>
    </row>
    <row r="77" spans="1:8" x14ac:dyDescent="0.2">
      <c r="A77" s="289" t="s">
        <v>250</v>
      </c>
      <c r="B77" s="289"/>
      <c r="C77" s="289"/>
      <c r="D77" s="289"/>
      <c r="E77" s="289"/>
      <c r="F77" s="289"/>
      <c r="G77" s="289"/>
      <c r="H77" s="289"/>
    </row>
    <row r="78" spans="1:8" x14ac:dyDescent="0.2">
      <c r="A78" s="178"/>
      <c r="B78" s="178"/>
      <c r="C78" s="178"/>
      <c r="D78" s="178"/>
      <c r="E78" s="178"/>
      <c r="F78" s="178"/>
      <c r="G78" s="178"/>
      <c r="H78" s="178"/>
    </row>
  </sheetData>
  <sheetProtection algorithmName="SHA-512" hashValue="efQw/PZeF9STZJ6R7jJ20XJokzCAysXwtS5WUTvF3HvqHMmq5AWvpBlWumSdM/RgCmiBDTycRPJH0YYn5VapKg==" saltValue="kvgRTmONO2Dv6RkzfHYcew==" spinCount="100000" sheet="1" selectLockedCells="1"/>
  <mergeCells count="9">
    <mergeCell ref="A77:H77"/>
    <mergeCell ref="A50:H50"/>
    <mergeCell ref="A1:H1"/>
    <mergeCell ref="C15:D15"/>
    <mergeCell ref="E15:F15"/>
    <mergeCell ref="G15:H15"/>
    <mergeCell ref="G2:H2"/>
    <mergeCell ref="B2:E2"/>
    <mergeCell ref="A13:H13"/>
  </mergeCells>
  <printOptions horizontalCentered="1" vertic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P79"/>
  <sheetViews>
    <sheetView view="pageBreakPreview" zoomScaleNormal="100" zoomScaleSheetLayoutView="100" workbookViewId="0">
      <selection activeCell="H7" sqref="H7"/>
    </sheetView>
  </sheetViews>
  <sheetFormatPr defaultColWidth="8.85546875" defaultRowHeight="15" x14ac:dyDescent="0.25"/>
  <cols>
    <col min="1" max="1" width="23.85546875" style="42" customWidth="1"/>
    <col min="2" max="3" width="13" style="42" customWidth="1"/>
    <col min="4" max="4" width="19.28515625" style="42" customWidth="1"/>
    <col min="5" max="5" width="17" style="42" customWidth="1"/>
    <col min="6" max="6" width="6" style="42" customWidth="1"/>
    <col min="7" max="7" width="8.85546875" style="42"/>
    <col min="8" max="8" width="17" style="184" customWidth="1"/>
    <col min="9" max="9" width="8.85546875" style="42"/>
    <col min="10" max="13" width="14" style="42" customWidth="1"/>
    <col min="14" max="16384" width="8.85546875" style="42"/>
  </cols>
  <sheetData>
    <row r="1" spans="1:10" x14ac:dyDescent="0.25">
      <c r="A1" s="275" t="s">
        <v>195</v>
      </c>
      <c r="B1" s="275"/>
      <c r="C1" s="275"/>
      <c r="D1" s="275"/>
      <c r="E1" s="275"/>
      <c r="F1" s="275"/>
      <c r="G1" s="118"/>
      <c r="H1" s="19"/>
      <c r="I1" s="118"/>
    </row>
    <row r="2" spans="1:10" s="119" customFormat="1" ht="12.75" x14ac:dyDescent="0.2">
      <c r="A2" s="119" t="s">
        <v>147</v>
      </c>
      <c r="B2" s="293">
        <f>'CL_1 - Site Screening'!C3</f>
        <v>0</v>
      </c>
      <c r="C2" s="293"/>
      <c r="D2" s="293"/>
      <c r="E2" s="179">
        <f ca="1">'CL_1 - Site Screening'!G5</f>
        <v>44608</v>
      </c>
      <c r="F2" s="180" t="s">
        <v>152</v>
      </c>
      <c r="H2" s="53"/>
    </row>
    <row r="3" spans="1:10" s="121" customFormat="1" ht="12.75" x14ac:dyDescent="0.2">
      <c r="A3" s="120" t="s">
        <v>149</v>
      </c>
      <c r="B3" s="120"/>
      <c r="C3" s="120"/>
      <c r="D3" s="120"/>
      <c r="E3" s="120"/>
      <c r="F3" s="120"/>
      <c r="H3" s="181"/>
    </row>
    <row r="4" spans="1:10" s="121" customFormat="1" ht="12.75" x14ac:dyDescent="0.2">
      <c r="H4" s="181"/>
    </row>
    <row r="5" spans="1:10" x14ac:dyDescent="0.25">
      <c r="A5" s="182" t="s">
        <v>115</v>
      </c>
      <c r="B5" s="183"/>
      <c r="C5" s="183"/>
      <c r="D5" s="183"/>
      <c r="E5" s="183"/>
      <c r="F5" s="183"/>
    </row>
    <row r="6" spans="1:10" x14ac:dyDescent="0.25">
      <c r="D6" s="299" t="s">
        <v>193</v>
      </c>
      <c r="E6" s="299"/>
      <c r="F6" s="299"/>
      <c r="H6" s="295" t="s">
        <v>203</v>
      </c>
      <c r="I6" s="296"/>
      <c r="J6" s="297"/>
    </row>
    <row r="7" spans="1:10" x14ac:dyDescent="0.25">
      <c r="A7" s="43" t="s">
        <v>5</v>
      </c>
      <c r="B7" s="185">
        <f>IF(H7=0,'DE_1 - Watershed Info'!F45-'CL_2 - Design Summary'!F15,H7)</f>
        <v>2268.7499999999995</v>
      </c>
      <c r="C7" s="42" t="s">
        <v>81</v>
      </c>
      <c r="D7" s="186" t="str">
        <f>IF(H7+H8=0," ","MANUAL")</f>
        <v xml:space="preserve"> </v>
      </c>
      <c r="H7" s="187">
        <v>0</v>
      </c>
      <c r="I7" s="188" t="s">
        <v>214</v>
      </c>
      <c r="J7" s="189"/>
    </row>
    <row r="8" spans="1:10" x14ac:dyDescent="0.25">
      <c r="A8" s="43" t="s">
        <v>6</v>
      </c>
      <c r="B8" s="185">
        <f>IF(H8=0,B7*0.1,H8)</f>
        <v>226.87499999999997</v>
      </c>
      <c r="C8" s="42" t="s">
        <v>81</v>
      </c>
      <c r="D8" s="42" t="s">
        <v>153</v>
      </c>
      <c r="H8" s="187">
        <v>0</v>
      </c>
      <c r="I8" s="188" t="s">
        <v>215</v>
      </c>
      <c r="J8" s="189"/>
    </row>
    <row r="9" spans="1:10" x14ac:dyDescent="0.25">
      <c r="A9" s="43" t="s">
        <v>7</v>
      </c>
      <c r="B9" s="190">
        <v>0</v>
      </c>
      <c r="C9" s="42" t="s">
        <v>81</v>
      </c>
      <c r="D9" s="298"/>
      <c r="E9" s="298"/>
      <c r="F9" s="298"/>
    </row>
    <row r="10" spans="1:10" s="193" customFormat="1" ht="3.6" customHeight="1" x14ac:dyDescent="0.25">
      <c r="A10" s="191"/>
      <c r="B10" s="192"/>
      <c r="D10" s="194"/>
      <c r="E10" s="194"/>
      <c r="F10" s="194"/>
      <c r="H10" s="195"/>
    </row>
    <row r="11" spans="1:10" x14ac:dyDescent="0.25">
      <c r="A11" s="43" t="s">
        <v>8</v>
      </c>
      <c r="B11" s="185">
        <f>B8-B9</f>
        <v>226.87499999999997</v>
      </c>
      <c r="C11" s="42" t="s">
        <v>81</v>
      </c>
      <c r="D11" s="298" t="s">
        <v>55</v>
      </c>
      <c r="E11" s="298"/>
      <c r="F11" s="298"/>
    </row>
    <row r="13" spans="1:10" x14ac:dyDescent="0.25">
      <c r="A13" s="182" t="s">
        <v>0</v>
      </c>
      <c r="B13" s="183"/>
      <c r="C13" s="183"/>
      <c r="D13" s="183"/>
      <c r="E13" s="183"/>
      <c r="F13" s="183"/>
    </row>
    <row r="15" spans="1:10" x14ac:dyDescent="0.25">
      <c r="A15" s="182" t="s">
        <v>110</v>
      </c>
      <c r="B15" s="183"/>
      <c r="C15" s="183"/>
      <c r="D15" s="196" t="s">
        <v>219</v>
      </c>
      <c r="E15" s="197">
        <v>100</v>
      </c>
      <c r="F15" s="183"/>
    </row>
    <row r="16" spans="1:10" x14ac:dyDescent="0.25">
      <c r="A16" s="198" t="s">
        <v>220</v>
      </c>
      <c r="B16" s="198" t="s">
        <v>1</v>
      </c>
      <c r="C16" s="198" t="s">
        <v>2</v>
      </c>
      <c r="D16" s="198" t="s">
        <v>3</v>
      </c>
      <c r="E16" s="198" t="s">
        <v>4</v>
      </c>
    </row>
    <row r="17" spans="1:16" s="184" customFormat="1" x14ac:dyDescent="0.25">
      <c r="A17" s="184" t="s">
        <v>85</v>
      </c>
      <c r="B17" s="184" t="s">
        <v>85</v>
      </c>
      <c r="C17" s="184" t="s">
        <v>114</v>
      </c>
      <c r="D17" s="184" t="s">
        <v>81</v>
      </c>
      <c r="E17" s="184" t="s">
        <v>81</v>
      </c>
    </row>
    <row r="18" spans="1:16" x14ac:dyDescent="0.25">
      <c r="A18" s="199">
        <v>0</v>
      </c>
      <c r="B18" s="200">
        <f>E$15-A18</f>
        <v>100</v>
      </c>
      <c r="C18" s="201"/>
      <c r="D18" s="202"/>
      <c r="E18" s="202"/>
      <c r="J18" s="184"/>
      <c r="K18" s="184"/>
      <c r="L18" s="184"/>
      <c r="M18" s="184"/>
      <c r="N18" s="184"/>
      <c r="O18" s="184"/>
      <c r="P18" s="184"/>
    </row>
    <row r="19" spans="1:16" x14ac:dyDescent="0.25">
      <c r="A19" s="203">
        <v>1</v>
      </c>
      <c r="B19" s="200">
        <f t="shared" ref="B19:B23" si="0">E$15-A19</f>
        <v>99</v>
      </c>
      <c r="C19" s="201"/>
      <c r="D19" s="202">
        <f>IF(A19&gt;0,(C18+C19)*(B18-B19)/2,0)</f>
        <v>0</v>
      </c>
      <c r="E19" s="202">
        <f>D19+E18</f>
        <v>0</v>
      </c>
      <c r="I19" s="204"/>
      <c r="J19" s="184"/>
      <c r="K19" s="184"/>
      <c r="L19" s="184"/>
      <c r="M19" s="184"/>
      <c r="N19" s="184"/>
      <c r="O19" s="184"/>
      <c r="P19" s="184"/>
    </row>
    <row r="20" spans="1:16" x14ac:dyDescent="0.25">
      <c r="A20" s="203"/>
      <c r="B20" s="200">
        <f t="shared" si="0"/>
        <v>100</v>
      </c>
      <c r="C20" s="201"/>
      <c r="D20" s="202">
        <f t="shared" ref="D20:D23" si="1">IF(A20&gt;0,(C19+C20)*(B19-B20)/2,0)</f>
        <v>0</v>
      </c>
      <c r="E20" s="202">
        <f t="shared" ref="E20" si="2">D20+E19</f>
        <v>0</v>
      </c>
      <c r="J20" s="184"/>
      <c r="K20" s="184"/>
      <c r="L20" s="184"/>
      <c r="M20" s="184"/>
      <c r="N20" s="184"/>
      <c r="O20" s="184"/>
      <c r="P20" s="184"/>
    </row>
    <row r="21" spans="1:16" x14ac:dyDescent="0.25">
      <c r="A21" s="203"/>
      <c r="B21" s="200">
        <f t="shared" si="0"/>
        <v>100</v>
      </c>
      <c r="C21" s="201"/>
      <c r="D21" s="202">
        <f t="shared" si="1"/>
        <v>0</v>
      </c>
      <c r="E21" s="202">
        <f t="shared" ref="E21:E23" si="3">D21+E20</f>
        <v>0</v>
      </c>
      <c r="J21" s="184"/>
      <c r="K21" s="184"/>
      <c r="L21" s="184"/>
      <c r="M21" s="184"/>
      <c r="N21" s="184"/>
      <c r="O21" s="184"/>
      <c r="P21" s="184"/>
    </row>
    <row r="22" spans="1:16" x14ac:dyDescent="0.25">
      <c r="A22" s="203"/>
      <c r="B22" s="200">
        <f t="shared" si="0"/>
        <v>100</v>
      </c>
      <c r="C22" s="201"/>
      <c r="D22" s="202">
        <f t="shared" si="1"/>
        <v>0</v>
      </c>
      <c r="E22" s="202">
        <f t="shared" si="3"/>
        <v>0</v>
      </c>
      <c r="J22" s="184"/>
      <c r="K22" s="184"/>
      <c r="L22" s="184"/>
      <c r="M22" s="184"/>
      <c r="N22" s="184"/>
      <c r="O22" s="184"/>
      <c r="P22" s="184"/>
    </row>
    <row r="23" spans="1:16" x14ac:dyDescent="0.25">
      <c r="A23" s="203"/>
      <c r="B23" s="200">
        <f t="shared" si="0"/>
        <v>100</v>
      </c>
      <c r="C23" s="201"/>
      <c r="D23" s="202">
        <f t="shared" si="1"/>
        <v>0</v>
      </c>
      <c r="E23" s="202">
        <f t="shared" si="3"/>
        <v>0</v>
      </c>
      <c r="J23" s="184"/>
      <c r="K23" s="184"/>
      <c r="L23" s="184"/>
      <c r="M23" s="184"/>
      <c r="N23" s="184"/>
      <c r="O23" s="184"/>
      <c r="P23" s="184"/>
    </row>
    <row r="24" spans="1:16" x14ac:dyDescent="0.25">
      <c r="A24" s="184"/>
    </row>
    <row r="25" spans="1:16" x14ac:dyDescent="0.25">
      <c r="A25" s="184"/>
      <c r="E25" s="43"/>
      <c r="F25" s="205"/>
    </row>
    <row r="26" spans="1:16" x14ac:dyDescent="0.25">
      <c r="A26" s="182" t="s">
        <v>111</v>
      </c>
      <c r="B26" s="183"/>
      <c r="C26" s="183"/>
      <c r="D26" s="196" t="s">
        <v>219</v>
      </c>
      <c r="E26" s="197">
        <v>100</v>
      </c>
      <c r="F26" s="206"/>
    </row>
    <row r="27" spans="1:16" x14ac:dyDescent="0.25">
      <c r="A27" s="198" t="s">
        <v>220</v>
      </c>
      <c r="B27" s="198" t="s">
        <v>1</v>
      </c>
      <c r="C27" s="198" t="s">
        <v>2</v>
      </c>
      <c r="D27" s="198" t="s">
        <v>3</v>
      </c>
      <c r="E27" s="198" t="s">
        <v>4</v>
      </c>
      <c r="F27" s="205"/>
      <c r="K27" s="207"/>
    </row>
    <row r="28" spans="1:16" x14ac:dyDescent="0.25">
      <c r="A28" s="184" t="s">
        <v>85</v>
      </c>
      <c r="B28" s="184" t="s">
        <v>85</v>
      </c>
      <c r="C28" s="184" t="s">
        <v>114</v>
      </c>
      <c r="D28" s="184" t="s">
        <v>81</v>
      </c>
      <c r="E28" s="184" t="s">
        <v>81</v>
      </c>
      <c r="F28" s="205"/>
      <c r="K28" s="207"/>
    </row>
    <row r="29" spans="1:16" x14ac:dyDescent="0.25">
      <c r="A29" s="199">
        <v>0</v>
      </c>
      <c r="B29" s="200">
        <f>E$26-A29</f>
        <v>100</v>
      </c>
      <c r="C29" s="201"/>
      <c r="D29" s="202"/>
      <c r="E29" s="202"/>
      <c r="F29" s="205"/>
      <c r="K29" s="207"/>
    </row>
    <row r="30" spans="1:16" x14ac:dyDescent="0.25">
      <c r="A30" s="203">
        <v>1</v>
      </c>
      <c r="B30" s="200">
        <f t="shared" ref="B30:B34" si="4">E$26-A30</f>
        <v>99</v>
      </c>
      <c r="C30" s="201"/>
      <c r="D30" s="202">
        <f>IF(A30&gt;0,(C29+C30)*(B29-B30)/2,0)</f>
        <v>0</v>
      </c>
      <c r="E30" s="202">
        <f>D30+E29</f>
        <v>0</v>
      </c>
      <c r="F30" s="205"/>
    </row>
    <row r="31" spans="1:16" x14ac:dyDescent="0.25">
      <c r="A31" s="203"/>
      <c r="B31" s="200">
        <f t="shared" si="4"/>
        <v>100</v>
      </c>
      <c r="C31" s="201"/>
      <c r="D31" s="202">
        <f t="shared" ref="D31:D34" si="5">IF(A31&gt;0,(C30+C31)*(B30-B31)/2,0)</f>
        <v>0</v>
      </c>
      <c r="E31" s="202">
        <f t="shared" ref="E31:E34" si="6">D31+E30</f>
        <v>0</v>
      </c>
      <c r="F31" s="205"/>
    </row>
    <row r="32" spans="1:16" x14ac:dyDescent="0.25">
      <c r="A32" s="203"/>
      <c r="B32" s="200">
        <f t="shared" si="4"/>
        <v>100</v>
      </c>
      <c r="C32" s="201"/>
      <c r="D32" s="202">
        <f t="shared" si="5"/>
        <v>0</v>
      </c>
      <c r="E32" s="202">
        <f t="shared" si="6"/>
        <v>0</v>
      </c>
      <c r="F32" s="205"/>
    </row>
    <row r="33" spans="1:13" x14ac:dyDescent="0.25">
      <c r="A33" s="203"/>
      <c r="B33" s="200">
        <f t="shared" si="4"/>
        <v>100</v>
      </c>
      <c r="C33" s="201"/>
      <c r="D33" s="202">
        <f t="shared" si="5"/>
        <v>0</v>
      </c>
      <c r="E33" s="202">
        <f t="shared" si="6"/>
        <v>0</v>
      </c>
      <c r="F33" s="205"/>
    </row>
    <row r="34" spans="1:13" x14ac:dyDescent="0.25">
      <c r="A34" s="203"/>
      <c r="B34" s="200">
        <f t="shared" si="4"/>
        <v>100</v>
      </c>
      <c r="C34" s="201"/>
      <c r="D34" s="202">
        <f t="shared" si="5"/>
        <v>0</v>
      </c>
      <c r="E34" s="202">
        <f t="shared" si="6"/>
        <v>0</v>
      </c>
    </row>
    <row r="36" spans="1:13" x14ac:dyDescent="0.25">
      <c r="A36" s="184"/>
      <c r="B36" s="184"/>
      <c r="J36" s="184"/>
      <c r="K36" s="184"/>
    </row>
    <row r="37" spans="1:13" x14ac:dyDescent="0.25">
      <c r="A37" s="182" t="s">
        <v>112</v>
      </c>
      <c r="B37" s="182"/>
      <c r="C37" s="182"/>
      <c r="D37" s="196" t="s">
        <v>219</v>
      </c>
      <c r="E37" s="197">
        <v>0</v>
      </c>
      <c r="F37" s="208"/>
      <c r="J37" s="184"/>
      <c r="K37" s="184"/>
      <c r="L37" s="184"/>
      <c r="M37" s="184"/>
    </row>
    <row r="38" spans="1:13" x14ac:dyDescent="0.25">
      <c r="A38" s="198" t="s">
        <v>220</v>
      </c>
      <c r="B38" s="198" t="s">
        <v>1</v>
      </c>
      <c r="C38" s="198" t="s">
        <v>2</v>
      </c>
      <c r="D38" s="198" t="s">
        <v>3</v>
      </c>
      <c r="E38" s="198" t="s">
        <v>4</v>
      </c>
      <c r="F38" s="184"/>
      <c r="J38" s="184"/>
      <c r="K38" s="184"/>
      <c r="L38" s="184"/>
      <c r="M38" s="184"/>
    </row>
    <row r="39" spans="1:13" x14ac:dyDescent="0.25">
      <c r="A39" s="184" t="s">
        <v>85</v>
      </c>
      <c r="B39" s="184" t="s">
        <v>85</v>
      </c>
      <c r="C39" s="184" t="s">
        <v>114</v>
      </c>
      <c r="D39" s="184" t="s">
        <v>81</v>
      </c>
      <c r="E39" s="184" t="s">
        <v>81</v>
      </c>
      <c r="F39" s="184"/>
      <c r="J39" s="184"/>
      <c r="K39" s="184"/>
      <c r="L39" s="184"/>
      <c r="M39" s="184"/>
    </row>
    <row r="40" spans="1:13" x14ac:dyDescent="0.25">
      <c r="A40" s="199">
        <v>0</v>
      </c>
      <c r="B40" s="200">
        <f>E$37-A40</f>
        <v>0</v>
      </c>
      <c r="C40" s="201"/>
      <c r="D40" s="202"/>
      <c r="E40" s="202"/>
      <c r="F40" s="184"/>
      <c r="J40" s="184"/>
      <c r="K40" s="184"/>
      <c r="L40" s="184"/>
      <c r="M40" s="184"/>
    </row>
    <row r="41" spans="1:13" x14ac:dyDescent="0.25">
      <c r="A41" s="203">
        <v>1</v>
      </c>
      <c r="B41" s="200">
        <f t="shared" ref="B41:B45" si="7">E$37-A41</f>
        <v>-1</v>
      </c>
      <c r="C41" s="201"/>
      <c r="D41" s="202">
        <f>IF(A41&gt;0,(C40+C41)*(B40-B41)/2,0)</f>
        <v>0</v>
      </c>
      <c r="E41" s="202">
        <f>D41+E40</f>
        <v>0</v>
      </c>
      <c r="F41" s="184"/>
      <c r="J41" s="184"/>
      <c r="K41" s="184"/>
      <c r="L41" s="184"/>
      <c r="M41" s="184"/>
    </row>
    <row r="42" spans="1:13" x14ac:dyDescent="0.25">
      <c r="A42" s="203"/>
      <c r="B42" s="200">
        <f t="shared" si="7"/>
        <v>0</v>
      </c>
      <c r="C42" s="201"/>
      <c r="D42" s="202">
        <f t="shared" ref="D42:D45" si="8">IF(A42&gt;0,(C41+C42)*(B41-B42)/2,0)</f>
        <v>0</v>
      </c>
      <c r="E42" s="202">
        <f t="shared" ref="E42:E45" si="9">D42+E41</f>
        <v>0</v>
      </c>
      <c r="F42" s="184"/>
      <c r="J42" s="184"/>
      <c r="K42" s="184"/>
      <c r="L42" s="184"/>
      <c r="M42" s="184"/>
    </row>
    <row r="43" spans="1:13" x14ac:dyDescent="0.25">
      <c r="A43" s="203"/>
      <c r="B43" s="200">
        <f t="shared" si="7"/>
        <v>0</v>
      </c>
      <c r="C43" s="201"/>
      <c r="D43" s="202">
        <f t="shared" si="8"/>
        <v>0</v>
      </c>
      <c r="E43" s="202">
        <f t="shared" si="9"/>
        <v>0</v>
      </c>
      <c r="F43" s="184"/>
      <c r="J43" s="184"/>
      <c r="K43" s="184"/>
      <c r="L43" s="184"/>
      <c r="M43" s="184"/>
    </row>
    <row r="44" spans="1:13" x14ac:dyDescent="0.25">
      <c r="A44" s="203"/>
      <c r="B44" s="200">
        <f t="shared" si="7"/>
        <v>0</v>
      </c>
      <c r="C44" s="201"/>
      <c r="D44" s="202">
        <f t="shared" si="8"/>
        <v>0</v>
      </c>
      <c r="E44" s="202">
        <f t="shared" si="9"/>
        <v>0</v>
      </c>
      <c r="F44" s="184"/>
      <c r="J44" s="184"/>
      <c r="K44" s="184"/>
      <c r="L44" s="184"/>
      <c r="M44" s="184"/>
    </row>
    <row r="45" spans="1:13" x14ac:dyDescent="0.25">
      <c r="A45" s="203"/>
      <c r="B45" s="200">
        <f t="shared" si="7"/>
        <v>0</v>
      </c>
      <c r="C45" s="201"/>
      <c r="D45" s="202">
        <f t="shared" si="8"/>
        <v>0</v>
      </c>
      <c r="E45" s="202">
        <f t="shared" si="9"/>
        <v>0</v>
      </c>
      <c r="F45" s="184"/>
      <c r="J45" s="184"/>
      <c r="K45" s="184"/>
      <c r="L45" s="184"/>
      <c r="M45" s="184"/>
    </row>
    <row r="46" spans="1:13" x14ac:dyDescent="0.25">
      <c r="A46" s="184"/>
      <c r="B46" s="184"/>
      <c r="C46" s="184"/>
      <c r="D46" s="209" t="str">
        <f>IF(H47=0," ","MANUAL")</f>
        <v xml:space="preserve"> </v>
      </c>
      <c r="E46" s="184"/>
      <c r="F46" s="184"/>
      <c r="H46" s="295" t="s">
        <v>203</v>
      </c>
      <c r="I46" s="296"/>
      <c r="J46" s="297"/>
      <c r="K46" s="184"/>
      <c r="L46" s="184"/>
      <c r="M46" s="184"/>
    </row>
    <row r="47" spans="1:13" x14ac:dyDescent="0.25">
      <c r="A47" s="184"/>
      <c r="B47" s="184"/>
      <c r="C47" s="43" t="s">
        <v>113</v>
      </c>
      <c r="D47" s="202">
        <f>IF(H47=0,MAX(E19:E23)+MAX(E30:E34)+MAX(E41:E45),H47)</f>
        <v>0</v>
      </c>
      <c r="E47" s="210" t="s">
        <v>81</v>
      </c>
      <c r="F47" s="184"/>
      <c r="H47" s="187">
        <v>0</v>
      </c>
      <c r="I47" s="188" t="s">
        <v>221</v>
      </c>
      <c r="J47" s="189"/>
      <c r="K47" s="184"/>
      <c r="L47" s="184"/>
      <c r="M47" s="184"/>
    </row>
    <row r="48" spans="1:13" x14ac:dyDescent="0.25">
      <c r="C48" s="43" t="s">
        <v>9</v>
      </c>
      <c r="D48" s="211">
        <f>(D47)/B11</f>
        <v>0</v>
      </c>
      <c r="E48" s="210" t="s">
        <v>10</v>
      </c>
      <c r="F48" s="53" t="str">
        <f>IF(D48=0,"-",IF(D48&gt;=1,"OK","!"))</f>
        <v>-</v>
      </c>
      <c r="J48" s="184"/>
      <c r="K48" s="184"/>
      <c r="L48" s="184"/>
      <c r="M48" s="184"/>
    </row>
    <row r="49" spans="1:13" ht="15.75" thickBot="1" x14ac:dyDescent="0.3">
      <c r="E49" s="184"/>
      <c r="F49" s="184"/>
      <c r="J49" s="184"/>
      <c r="K49" s="184"/>
      <c r="L49" s="184"/>
      <c r="M49" s="184"/>
    </row>
    <row r="50" spans="1:13" x14ac:dyDescent="0.25">
      <c r="A50" s="41" t="s">
        <v>242</v>
      </c>
      <c r="B50" s="41"/>
      <c r="C50" s="41"/>
      <c r="D50" s="41"/>
      <c r="E50" s="41"/>
      <c r="F50" s="41"/>
      <c r="G50" s="27"/>
      <c r="H50" s="173"/>
      <c r="J50" s="184"/>
      <c r="K50" s="184"/>
      <c r="L50" s="184"/>
      <c r="M50" s="184"/>
    </row>
    <row r="51" spans="1:13" x14ac:dyDescent="0.25">
      <c r="A51" s="42" t="s">
        <v>243</v>
      </c>
      <c r="F51" s="43" t="str">
        <f>'CL_1 - Site Screening'!J70</f>
        <v>IDALS: Issue Date: 08/03/2020</v>
      </c>
      <c r="G51" s="119"/>
      <c r="J51" s="184"/>
      <c r="K51" s="184"/>
      <c r="L51" s="184"/>
      <c r="M51" s="184"/>
    </row>
    <row r="52" spans="1:13" x14ac:dyDescent="0.25">
      <c r="A52" s="184"/>
      <c r="B52" s="184"/>
      <c r="C52" s="184"/>
      <c r="D52" s="184"/>
      <c r="E52" s="184"/>
      <c r="F52" s="184"/>
      <c r="J52" s="184"/>
      <c r="K52" s="184"/>
      <c r="L52" s="184"/>
      <c r="M52" s="184"/>
    </row>
    <row r="53" spans="1:13" x14ac:dyDescent="0.25">
      <c r="A53" s="184"/>
      <c r="B53" s="184"/>
      <c r="C53" s="184"/>
      <c r="D53" s="184"/>
      <c r="E53" s="184"/>
      <c r="F53" s="184"/>
      <c r="J53" s="184"/>
      <c r="K53" s="184"/>
      <c r="L53" s="184"/>
      <c r="M53" s="184"/>
    </row>
    <row r="54" spans="1:13" x14ac:dyDescent="0.25">
      <c r="A54" s="184"/>
      <c r="B54" s="184"/>
      <c r="C54" s="184"/>
      <c r="D54" s="212"/>
      <c r="E54" s="184"/>
      <c r="F54" s="184"/>
      <c r="J54" s="184"/>
      <c r="K54" s="184"/>
      <c r="L54" s="184"/>
      <c r="M54" s="184"/>
    </row>
    <row r="55" spans="1:13" x14ac:dyDescent="0.25">
      <c r="A55" s="184"/>
      <c r="B55" s="184"/>
      <c r="C55" s="184"/>
      <c r="D55" s="212"/>
      <c r="E55" s="184"/>
      <c r="F55" s="184"/>
      <c r="J55" s="184"/>
      <c r="K55" s="184"/>
      <c r="L55" s="184"/>
      <c r="M55" s="184"/>
    </row>
    <row r="56" spans="1:13" x14ac:dyDescent="0.25">
      <c r="A56" s="184"/>
      <c r="B56" s="184"/>
      <c r="C56" s="184"/>
      <c r="D56" s="212"/>
      <c r="E56" s="184"/>
      <c r="F56" s="184"/>
      <c r="J56" s="184"/>
      <c r="K56" s="184"/>
      <c r="L56" s="184"/>
      <c r="M56" s="184"/>
    </row>
    <row r="59" spans="1:13" x14ac:dyDescent="0.25">
      <c r="F59" s="184"/>
    </row>
    <row r="65" spans="3:4" x14ac:dyDescent="0.25">
      <c r="C65" s="184"/>
      <c r="D65" s="184"/>
    </row>
    <row r="66" spans="3:4" x14ac:dyDescent="0.25">
      <c r="C66" s="184"/>
      <c r="D66" s="184"/>
    </row>
    <row r="67" spans="3:4" x14ac:dyDescent="0.25">
      <c r="C67" s="184"/>
      <c r="D67" s="184"/>
    </row>
    <row r="68" spans="3:4" x14ac:dyDescent="0.25">
      <c r="C68" s="184"/>
      <c r="D68" s="184"/>
    </row>
    <row r="69" spans="3:4" x14ac:dyDescent="0.25">
      <c r="C69" s="184"/>
      <c r="D69" s="184"/>
    </row>
    <row r="70" spans="3:4" x14ac:dyDescent="0.25">
      <c r="C70" s="184"/>
      <c r="D70" s="184"/>
    </row>
    <row r="71" spans="3:4" x14ac:dyDescent="0.25">
      <c r="C71" s="184"/>
      <c r="D71" s="184"/>
    </row>
    <row r="72" spans="3:4" x14ac:dyDescent="0.25">
      <c r="C72" s="184"/>
      <c r="D72" s="184"/>
    </row>
    <row r="73" spans="3:4" x14ac:dyDescent="0.25">
      <c r="C73" s="184"/>
      <c r="D73" s="184"/>
    </row>
    <row r="74" spans="3:4" x14ac:dyDescent="0.25">
      <c r="C74" s="184"/>
      <c r="D74" s="184"/>
    </row>
    <row r="75" spans="3:4" x14ac:dyDescent="0.25">
      <c r="C75" s="184"/>
      <c r="D75" s="184"/>
    </row>
    <row r="76" spans="3:4" x14ac:dyDescent="0.25">
      <c r="C76" s="184"/>
      <c r="D76" s="184"/>
    </row>
    <row r="77" spans="3:4" x14ac:dyDescent="0.25">
      <c r="C77" s="184"/>
      <c r="D77" s="184"/>
    </row>
    <row r="78" spans="3:4" x14ac:dyDescent="0.25">
      <c r="C78" s="184"/>
      <c r="D78" s="184"/>
    </row>
    <row r="79" spans="3:4" x14ac:dyDescent="0.25">
      <c r="C79" s="184"/>
      <c r="D79" s="184"/>
    </row>
  </sheetData>
  <sheetProtection algorithmName="SHA-512" hashValue="o/NfwJkmzs+H7O870dXW8A0Z2suY8K7Lp3RqXhKdTdowPIh/ueSm7zShvMW+rYthYgspRY5Jz0zgPYxerwszWw==" saltValue="SSNNuQAmMUQDYz+WfTfozA==" spinCount="100000" sheet="1" selectLockedCells="1"/>
  <mergeCells count="7">
    <mergeCell ref="H46:J46"/>
    <mergeCell ref="A1:F1"/>
    <mergeCell ref="H6:J6"/>
    <mergeCell ref="B2:D2"/>
    <mergeCell ref="D9:F9"/>
    <mergeCell ref="D11:F11"/>
    <mergeCell ref="D6:F6"/>
  </mergeCells>
  <conditionalFormatting sqref="F48">
    <cfRule type="cellIs" dxfId="5" priority="1" operator="equal">
      <formula>"!"</formula>
    </cfRule>
    <cfRule type="cellIs" dxfId="4" priority="2" operator="equal">
      <formula>"OK"</formula>
    </cfRule>
  </conditionalFormatting>
  <printOptions horizontalCentered="1" verticalCentered="1"/>
  <pageMargins left="0.25" right="0.25" top="0.75" bottom="0.75" header="0.3" footer="0.3"/>
  <pageSetup orientation="portrait" r:id="rId1"/>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M47"/>
  <sheetViews>
    <sheetView view="pageBreakPreview" zoomScaleNormal="100" zoomScaleSheetLayoutView="100" workbookViewId="0">
      <selection activeCell="C14" sqref="C14"/>
    </sheetView>
  </sheetViews>
  <sheetFormatPr defaultColWidth="8.85546875" defaultRowHeight="12" x14ac:dyDescent="0.2"/>
  <cols>
    <col min="1" max="1" width="9.7109375" style="27" customWidth="1"/>
    <col min="2" max="5" width="14.7109375" style="27" customWidth="1"/>
    <col min="6" max="6" width="18.85546875" style="27" customWidth="1"/>
    <col min="7" max="7" width="14.7109375" style="27" customWidth="1"/>
    <col min="8" max="9" width="3.7109375" style="27" customWidth="1"/>
    <col min="10" max="10" width="8.85546875" style="27"/>
    <col min="11" max="11" width="14" style="27" customWidth="1"/>
    <col min="12" max="12" width="15.7109375" style="22" customWidth="1"/>
    <col min="13" max="13" width="3.42578125" style="27" customWidth="1"/>
    <col min="14" max="14" width="14" style="27" customWidth="1"/>
    <col min="15" max="16384" width="8.85546875" style="27"/>
  </cols>
  <sheetData>
    <row r="1" spans="1:13" ht="12.75" x14ac:dyDescent="0.2">
      <c r="B1" s="275" t="s">
        <v>196</v>
      </c>
      <c r="C1" s="275"/>
      <c r="D1" s="275"/>
      <c r="E1" s="275"/>
      <c r="F1" s="275"/>
      <c r="G1" s="275"/>
      <c r="H1" s="118"/>
      <c r="I1" s="118"/>
      <c r="J1" s="118"/>
    </row>
    <row r="2" spans="1:13" x14ac:dyDescent="0.2">
      <c r="A2" s="27" t="s">
        <v>147</v>
      </c>
      <c r="B2" s="286">
        <f>'CL_1 - Site Screening'!C3</f>
        <v>0</v>
      </c>
      <c r="C2" s="286"/>
      <c r="D2" s="286"/>
      <c r="E2" s="286"/>
      <c r="F2" s="27" t="s">
        <v>98</v>
      </c>
      <c r="G2" s="87">
        <f ca="1">'CL_1 - Site Screening'!G5</f>
        <v>44608</v>
      </c>
      <c r="H2" s="87"/>
    </row>
    <row r="3" spans="1:13" s="214" customFormat="1" x14ac:dyDescent="0.2">
      <c r="A3" s="213" t="s">
        <v>150</v>
      </c>
      <c r="B3" s="213"/>
      <c r="C3" s="213"/>
      <c r="D3" s="213"/>
      <c r="E3" s="213"/>
      <c r="F3" s="213"/>
      <c r="G3" s="213"/>
      <c r="L3" s="215"/>
    </row>
    <row r="4" spans="1:13" ht="12" customHeight="1" x14ac:dyDescent="0.2">
      <c r="K4" s="300" t="s">
        <v>203</v>
      </c>
      <c r="L4" s="301"/>
      <c r="M4" s="302"/>
    </row>
    <row r="5" spans="1:13" x14ac:dyDescent="0.2">
      <c r="A5" s="216" t="str">
        <f>IF(L5&gt;0,"MANUAL"," ")</f>
        <v xml:space="preserve"> </v>
      </c>
      <c r="B5" s="27" t="s">
        <v>5</v>
      </c>
      <c r="C5" s="217">
        <f>IF(L5=0,'DE_1 - Watershed Info'!F45-'CL_2 - Design Summary'!F15,L5)</f>
        <v>2268.7499999999995</v>
      </c>
      <c r="D5" s="27" t="s">
        <v>81</v>
      </c>
      <c r="E5" s="304" t="s">
        <v>268</v>
      </c>
      <c r="F5" s="304"/>
      <c r="G5" s="218">
        <v>100</v>
      </c>
      <c r="H5" s="219" t="s">
        <v>85</v>
      </c>
      <c r="K5" s="220" t="s">
        <v>5</v>
      </c>
      <c r="L5" s="221">
        <v>0</v>
      </c>
      <c r="M5" s="55" t="s">
        <v>81</v>
      </c>
    </row>
    <row r="6" spans="1:13" x14ac:dyDescent="0.2">
      <c r="A6" s="216" t="str">
        <f t="shared" ref="A6:A7" si="0">IF(L6&gt;0,"MANUAL"," ")</f>
        <v xml:space="preserve"> </v>
      </c>
      <c r="B6" s="27" t="s">
        <v>36</v>
      </c>
      <c r="C6" s="217">
        <f>IF(L6=0,MIN('Step 4 - Pre-treat'!B9+'Step 4 - Pre-treat'!D47,'Step 4 - Pre-treat'!B8),L6)</f>
        <v>0</v>
      </c>
      <c r="D6" s="27" t="s">
        <v>81</v>
      </c>
      <c r="E6" s="305"/>
      <c r="F6" s="305"/>
      <c r="G6" s="222"/>
      <c r="H6" s="89"/>
      <c r="K6" s="220" t="s">
        <v>36</v>
      </c>
      <c r="L6" s="221">
        <v>0</v>
      </c>
      <c r="M6" s="55" t="s">
        <v>81</v>
      </c>
    </row>
    <row r="7" spans="1:13" x14ac:dyDescent="0.2">
      <c r="A7" s="216" t="str">
        <f t="shared" si="0"/>
        <v xml:space="preserve"> </v>
      </c>
      <c r="B7" s="27" t="s">
        <v>116</v>
      </c>
      <c r="C7" s="217">
        <f>IF(L7=0,C5-C6,L7)</f>
        <v>2268.7499999999995</v>
      </c>
      <c r="D7" s="27" t="s">
        <v>81</v>
      </c>
      <c r="K7" s="223" t="s">
        <v>116</v>
      </c>
      <c r="L7" s="224">
        <v>0</v>
      </c>
      <c r="M7" s="57" t="s">
        <v>81</v>
      </c>
    </row>
    <row r="9" spans="1:13" x14ac:dyDescent="0.2">
      <c r="A9" s="225" t="s">
        <v>0</v>
      </c>
      <c r="C9" s="303" t="s">
        <v>292</v>
      </c>
      <c r="D9" s="303"/>
      <c r="E9" s="303"/>
      <c r="F9" s="303"/>
      <c r="G9" s="303"/>
      <c r="H9" s="303"/>
      <c r="I9" s="303"/>
    </row>
    <row r="10" spans="1:13" x14ac:dyDescent="0.2">
      <c r="B10" s="226"/>
      <c r="C10" s="89"/>
      <c r="D10" s="225"/>
      <c r="E10" s="225"/>
      <c r="F10" s="225"/>
      <c r="G10" s="225"/>
    </row>
    <row r="11" spans="1:13" x14ac:dyDescent="0.2">
      <c r="A11" s="227" t="s">
        <v>117</v>
      </c>
      <c r="B11" s="227"/>
      <c r="C11" s="227"/>
      <c r="D11" s="227"/>
      <c r="E11" s="227"/>
      <c r="F11" s="227"/>
      <c r="G11" s="227"/>
      <c r="H11" s="228"/>
      <c r="I11" s="228"/>
    </row>
    <row r="12" spans="1:13" x14ac:dyDescent="0.2">
      <c r="A12" s="226" t="s">
        <v>200</v>
      </c>
      <c r="B12" s="226" t="s">
        <v>1</v>
      </c>
      <c r="C12" s="226" t="s">
        <v>2</v>
      </c>
      <c r="D12" s="226" t="s">
        <v>233</v>
      </c>
      <c r="E12" s="226" t="s">
        <v>4</v>
      </c>
      <c r="F12" s="226"/>
      <c r="G12" s="226"/>
    </row>
    <row r="13" spans="1:13" x14ac:dyDescent="0.2">
      <c r="A13" s="229" t="s">
        <v>85</v>
      </c>
      <c r="B13" s="229" t="s">
        <v>85</v>
      </c>
      <c r="C13" s="229" t="s">
        <v>114</v>
      </c>
      <c r="D13" s="229" t="s">
        <v>81</v>
      </c>
      <c r="E13" s="229" t="s">
        <v>81</v>
      </c>
    </row>
    <row r="14" spans="1:13" x14ac:dyDescent="0.2">
      <c r="A14" s="230">
        <v>0</v>
      </c>
      <c r="B14" s="74">
        <f>G5</f>
        <v>100</v>
      </c>
      <c r="C14" s="231">
        <v>0</v>
      </c>
      <c r="D14" s="232"/>
      <c r="E14" s="232"/>
    </row>
    <row r="15" spans="1:13" x14ac:dyDescent="0.2">
      <c r="A15" s="233">
        <v>1</v>
      </c>
      <c r="B15" s="74">
        <f>$B$14+A15</f>
        <v>101</v>
      </c>
      <c r="C15" s="231"/>
      <c r="D15" s="232" t="str">
        <f>IF(C15&gt;0,((C14+C15)*(B15-B14)/2),"NA")</f>
        <v>NA</v>
      </c>
      <c r="E15" s="232" t="str">
        <f t="shared" ref="E15:E20" si="1">IF(D15=$J$15,"NA",(D15+E14))</f>
        <v>NA</v>
      </c>
      <c r="J15" s="234" t="s">
        <v>201</v>
      </c>
    </row>
    <row r="16" spans="1:13" x14ac:dyDescent="0.2">
      <c r="A16" s="233">
        <f>A15+1</f>
        <v>2</v>
      </c>
      <c r="B16" s="74">
        <f t="shared" ref="B16:B25" si="2">$B$14+A16</f>
        <v>102</v>
      </c>
      <c r="C16" s="231"/>
      <c r="D16" s="232" t="str">
        <f t="shared" ref="D16:D20" si="3">IF(C16&gt;0,((C15+C16)*(B16-B15)/2),"NA")</f>
        <v>NA</v>
      </c>
      <c r="E16" s="232" t="str">
        <f t="shared" si="1"/>
        <v>NA</v>
      </c>
    </row>
    <row r="17" spans="1:8" x14ac:dyDescent="0.2">
      <c r="A17" s="233">
        <f t="shared" ref="A17:A25" si="4">A16+1</f>
        <v>3</v>
      </c>
      <c r="B17" s="74">
        <f t="shared" si="2"/>
        <v>103</v>
      </c>
      <c r="C17" s="231"/>
      <c r="D17" s="232" t="str">
        <f t="shared" si="3"/>
        <v>NA</v>
      </c>
      <c r="E17" s="232" t="str">
        <f t="shared" si="1"/>
        <v>NA</v>
      </c>
    </row>
    <row r="18" spans="1:8" x14ac:dyDescent="0.2">
      <c r="A18" s="233">
        <f t="shared" si="4"/>
        <v>4</v>
      </c>
      <c r="B18" s="74">
        <f t="shared" si="2"/>
        <v>104</v>
      </c>
      <c r="C18" s="231"/>
      <c r="D18" s="232" t="str">
        <f t="shared" si="3"/>
        <v>NA</v>
      </c>
      <c r="E18" s="232" t="str">
        <f t="shared" si="1"/>
        <v>NA</v>
      </c>
    </row>
    <row r="19" spans="1:8" x14ac:dyDescent="0.2">
      <c r="A19" s="233">
        <f t="shared" si="4"/>
        <v>5</v>
      </c>
      <c r="B19" s="74">
        <f t="shared" si="2"/>
        <v>105</v>
      </c>
      <c r="C19" s="231"/>
      <c r="D19" s="232" t="str">
        <f t="shared" si="3"/>
        <v>NA</v>
      </c>
      <c r="E19" s="232" t="str">
        <f t="shared" si="1"/>
        <v>NA</v>
      </c>
    </row>
    <row r="20" spans="1:8" x14ac:dyDescent="0.2">
      <c r="A20" s="233">
        <f t="shared" si="4"/>
        <v>6</v>
      </c>
      <c r="B20" s="74">
        <f t="shared" si="2"/>
        <v>106</v>
      </c>
      <c r="C20" s="231"/>
      <c r="D20" s="232" t="str">
        <f t="shared" si="3"/>
        <v>NA</v>
      </c>
      <c r="E20" s="232" t="str">
        <f t="shared" si="1"/>
        <v>NA</v>
      </c>
    </row>
    <row r="21" spans="1:8" x14ac:dyDescent="0.2">
      <c r="A21" s="233">
        <f t="shared" si="4"/>
        <v>7</v>
      </c>
      <c r="B21" s="74">
        <f t="shared" si="2"/>
        <v>107</v>
      </c>
      <c r="C21" s="231"/>
      <c r="D21" s="232" t="str">
        <f t="shared" ref="D21:D25" si="5">IF(C21&gt;0,((C20+C21)*(B21-B20)/2),"NA")</f>
        <v>NA</v>
      </c>
      <c r="E21" s="232" t="str">
        <f t="shared" ref="E21:E25" si="6">IF(D21=$J$15,"NA",(D21+E20))</f>
        <v>NA</v>
      </c>
    </row>
    <row r="22" spans="1:8" x14ac:dyDescent="0.2">
      <c r="A22" s="233">
        <f t="shared" si="4"/>
        <v>8</v>
      </c>
      <c r="B22" s="74">
        <f t="shared" si="2"/>
        <v>108</v>
      </c>
      <c r="C22" s="231"/>
      <c r="D22" s="232" t="str">
        <f t="shared" si="5"/>
        <v>NA</v>
      </c>
      <c r="E22" s="232" t="str">
        <f t="shared" si="6"/>
        <v>NA</v>
      </c>
    </row>
    <row r="23" spans="1:8" x14ac:dyDescent="0.2">
      <c r="A23" s="233">
        <f t="shared" si="4"/>
        <v>9</v>
      </c>
      <c r="B23" s="74">
        <f t="shared" si="2"/>
        <v>109</v>
      </c>
      <c r="C23" s="231"/>
      <c r="D23" s="232" t="str">
        <f t="shared" si="5"/>
        <v>NA</v>
      </c>
      <c r="E23" s="232" t="str">
        <f t="shared" si="6"/>
        <v>NA</v>
      </c>
    </row>
    <row r="24" spans="1:8" x14ac:dyDescent="0.2">
      <c r="A24" s="233">
        <f t="shared" si="4"/>
        <v>10</v>
      </c>
      <c r="B24" s="74">
        <f t="shared" si="2"/>
        <v>110</v>
      </c>
      <c r="C24" s="231"/>
      <c r="D24" s="232" t="str">
        <f t="shared" si="5"/>
        <v>NA</v>
      </c>
      <c r="E24" s="232" t="str">
        <f t="shared" si="6"/>
        <v>NA</v>
      </c>
    </row>
    <row r="25" spans="1:8" x14ac:dyDescent="0.2">
      <c r="A25" s="233">
        <f t="shared" si="4"/>
        <v>11</v>
      </c>
      <c r="B25" s="74">
        <f t="shared" si="2"/>
        <v>111</v>
      </c>
      <c r="C25" s="231"/>
      <c r="D25" s="232" t="str">
        <f t="shared" si="5"/>
        <v>NA</v>
      </c>
      <c r="E25" s="232" t="str">
        <f t="shared" si="6"/>
        <v>NA</v>
      </c>
    </row>
    <row r="26" spans="1:8" x14ac:dyDescent="0.2">
      <c r="A26" s="230"/>
      <c r="D26" s="22"/>
      <c r="E26" s="22"/>
    </row>
    <row r="27" spans="1:8" x14ac:dyDescent="0.2">
      <c r="A27" s="230"/>
      <c r="C27" s="228"/>
      <c r="D27" s="235" t="s">
        <v>118</v>
      </c>
      <c r="E27" s="236">
        <f>G27/43560</f>
        <v>0</v>
      </c>
      <c r="F27" s="228" t="s">
        <v>202</v>
      </c>
      <c r="G27" s="237">
        <f>MAX(E15:E25)</f>
        <v>0</v>
      </c>
      <c r="H27" s="228" t="s">
        <v>81</v>
      </c>
    </row>
    <row r="28" spans="1:8" ht="13.5" customHeight="1" x14ac:dyDescent="0.2">
      <c r="D28" s="22"/>
      <c r="E28" s="238" t="s">
        <v>222</v>
      </c>
    </row>
    <row r="29" spans="1:8" ht="13.5" customHeight="1" x14ac:dyDescent="0.2">
      <c r="D29" s="22"/>
      <c r="E29" s="238"/>
    </row>
    <row r="30" spans="1:8" ht="13.5" customHeight="1" x14ac:dyDescent="0.2">
      <c r="D30" s="22"/>
      <c r="E30" s="238"/>
    </row>
    <row r="31" spans="1:8" ht="13.5" customHeight="1" x14ac:dyDescent="0.2">
      <c r="D31" s="22"/>
      <c r="E31" s="238"/>
    </row>
    <row r="32" spans="1:8" ht="13.5" customHeight="1" x14ac:dyDescent="0.2">
      <c r="D32" s="22"/>
      <c r="E32" s="238"/>
    </row>
    <row r="33" spans="1:9" ht="13.5" customHeight="1" x14ac:dyDescent="0.2">
      <c r="D33" s="22"/>
      <c r="E33" s="238"/>
    </row>
    <row r="34" spans="1:9" ht="13.5" customHeight="1" x14ac:dyDescent="0.2">
      <c r="D34" s="22"/>
      <c r="E34" s="238"/>
    </row>
    <row r="35" spans="1:9" ht="13.5" customHeight="1" x14ac:dyDescent="0.2">
      <c r="D35" s="22"/>
      <c r="E35" s="238"/>
    </row>
    <row r="36" spans="1:9" ht="13.5" customHeight="1" x14ac:dyDescent="0.2">
      <c r="D36" s="22"/>
      <c r="E36" s="238"/>
    </row>
    <row r="37" spans="1:9" ht="13.5" customHeight="1" x14ac:dyDescent="0.2">
      <c r="D37" s="22"/>
      <c r="E37" s="238"/>
    </row>
    <row r="38" spans="1:9" ht="13.5" customHeight="1" x14ac:dyDescent="0.2">
      <c r="D38" s="22"/>
      <c r="E38" s="238"/>
    </row>
    <row r="39" spans="1:9" ht="13.5" customHeight="1" x14ac:dyDescent="0.2">
      <c r="D39" s="22"/>
      <c r="E39" s="238"/>
    </row>
    <row r="40" spans="1:9" ht="13.5" customHeight="1" x14ac:dyDescent="0.2">
      <c r="D40" s="22"/>
      <c r="E40" s="238"/>
    </row>
    <row r="41" spans="1:9" ht="13.5" customHeight="1" x14ac:dyDescent="0.2">
      <c r="D41" s="22"/>
      <c r="E41" s="238"/>
    </row>
    <row r="42" spans="1:9" ht="13.5" customHeight="1" x14ac:dyDescent="0.2">
      <c r="D42" s="22"/>
      <c r="E42" s="238"/>
    </row>
    <row r="43" spans="1:9" ht="12.75" thickBot="1" x14ac:dyDescent="0.25">
      <c r="D43" s="20"/>
      <c r="E43" s="80"/>
      <c r="G43" s="22"/>
    </row>
    <row r="44" spans="1:9" ht="15" x14ac:dyDescent="0.25">
      <c r="A44" s="41" t="s">
        <v>244</v>
      </c>
      <c r="B44" s="41"/>
      <c r="C44" s="41"/>
      <c r="D44" s="41"/>
      <c r="E44" s="41"/>
      <c r="F44" s="41"/>
      <c r="G44" s="41"/>
      <c r="H44" s="176"/>
      <c r="I44" s="41"/>
    </row>
    <row r="45" spans="1:9" ht="15" x14ac:dyDescent="0.25">
      <c r="A45" s="42" t="s">
        <v>245</v>
      </c>
      <c r="B45" s="42"/>
      <c r="C45" s="42"/>
      <c r="D45" s="42"/>
      <c r="E45" s="42"/>
      <c r="F45" s="42"/>
      <c r="G45" s="42"/>
      <c r="H45" s="42"/>
      <c r="I45" s="43" t="str">
        <f>'CL_1 - Site Screening'!J70</f>
        <v>IDALS: Issue Date: 08/03/2020</v>
      </c>
    </row>
    <row r="46" spans="1:9" x14ac:dyDescent="0.2">
      <c r="D46" s="22"/>
      <c r="E46" s="22"/>
    </row>
    <row r="47" spans="1:9" x14ac:dyDescent="0.2">
      <c r="D47" s="20"/>
      <c r="E47" s="239"/>
    </row>
  </sheetData>
  <sheetProtection algorithmName="SHA-512" hashValue="ErH5T5DfvrRAFlTI9xLv/nI1+reQZsjw9UVrVFvKw4Q0ufClMnWWQaLJXqoZkEzFdu62AbtzxL5T61bHbr7Pyg==" saltValue="xphCC9dI9Db8GIascjNeSQ==" spinCount="100000" sheet="1" selectLockedCells="1"/>
  <mergeCells count="6">
    <mergeCell ref="K4:M4"/>
    <mergeCell ref="C9:I9"/>
    <mergeCell ref="B1:G1"/>
    <mergeCell ref="B2:E2"/>
    <mergeCell ref="E5:F5"/>
    <mergeCell ref="E6:F6"/>
  </mergeCells>
  <conditionalFormatting sqref="G43:G45">
    <cfRule type="cellIs" dxfId="3" priority="8" operator="equal">
      <formula>"!"</formula>
    </cfRule>
    <cfRule type="cellIs" dxfId="2" priority="9" operator="equal">
      <formula>"OK"</formula>
    </cfRule>
  </conditionalFormatting>
  <printOptions horizontalCentered="1" verticalCentered="1"/>
  <pageMargins left="0.25" right="0.25"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I43"/>
  <sheetViews>
    <sheetView view="pageBreakPreview" zoomScaleNormal="100" zoomScaleSheetLayoutView="100" workbookViewId="0">
      <selection activeCell="C14" sqref="C14"/>
    </sheetView>
  </sheetViews>
  <sheetFormatPr defaultColWidth="8.85546875" defaultRowHeight="12.75" x14ac:dyDescent="0.2"/>
  <cols>
    <col min="1" max="1" width="12.7109375" style="119" customWidth="1"/>
    <col min="2" max="2" width="10.42578125" style="119" customWidth="1"/>
    <col min="3" max="3" width="9" style="119" customWidth="1"/>
    <col min="4" max="4" width="21.7109375" style="119" customWidth="1"/>
    <col min="5" max="6" width="18" style="119" customWidth="1"/>
    <col min="7" max="7" width="9" style="119" customWidth="1"/>
    <col min="8" max="8" width="10.28515625" style="119" customWidth="1"/>
    <col min="9" max="16384" width="8.85546875" style="119"/>
  </cols>
  <sheetData>
    <row r="1" spans="1:9" x14ac:dyDescent="0.2">
      <c r="A1" s="275" t="s">
        <v>197</v>
      </c>
      <c r="B1" s="275"/>
      <c r="C1" s="275"/>
      <c r="D1" s="275"/>
      <c r="E1" s="275"/>
      <c r="F1" s="275"/>
      <c r="G1" s="275"/>
      <c r="H1" s="118"/>
      <c r="I1" s="118"/>
    </row>
    <row r="2" spans="1:9" x14ac:dyDescent="0.2">
      <c r="A2" s="119" t="s">
        <v>147</v>
      </c>
      <c r="B2" s="293">
        <f>'CL_1 - Site Screening'!C3</f>
        <v>0</v>
      </c>
      <c r="C2" s="293"/>
      <c r="D2" s="293"/>
      <c r="E2" s="293"/>
      <c r="F2" s="180">
        <f ca="1">'CL_1 - Site Screening'!G5</f>
        <v>44608</v>
      </c>
      <c r="G2" s="119" t="s">
        <v>152</v>
      </c>
    </row>
    <row r="3" spans="1:9" x14ac:dyDescent="0.2">
      <c r="A3" s="120" t="s">
        <v>151</v>
      </c>
      <c r="B3" s="120"/>
      <c r="C3" s="120"/>
      <c r="D3" s="120"/>
      <c r="E3" s="120"/>
      <c r="F3" s="120"/>
      <c r="G3" s="240"/>
    </row>
    <row r="5" spans="1:9" x14ac:dyDescent="0.2">
      <c r="A5" s="119" t="s">
        <v>84</v>
      </c>
    </row>
    <row r="7" spans="1:9" x14ac:dyDescent="0.2">
      <c r="A7" s="119" t="s">
        <v>65</v>
      </c>
      <c r="C7" s="53">
        <f>'DE_1 - Watershed Info'!C44</f>
        <v>1</v>
      </c>
      <c r="D7" s="119" t="s">
        <v>28</v>
      </c>
      <c r="E7" s="306" t="s">
        <v>293</v>
      </c>
      <c r="F7" s="306"/>
      <c r="G7" s="306"/>
    </row>
    <row r="9" spans="1:9" x14ac:dyDescent="0.2">
      <c r="A9" s="241" t="s">
        <v>260</v>
      </c>
      <c r="B9" s="241"/>
      <c r="C9" s="241"/>
      <c r="D9" s="241"/>
      <c r="E9" s="241"/>
      <c r="F9" s="241"/>
      <c r="G9" s="241"/>
    </row>
    <row r="10" spans="1:9" x14ac:dyDescent="0.2">
      <c r="B10" s="242"/>
      <c r="C10" s="242"/>
      <c r="D10" s="242"/>
      <c r="E10" s="242"/>
      <c r="F10" s="242"/>
      <c r="G10" s="242"/>
      <c r="H10" s="242"/>
    </row>
    <row r="11" spans="1:9" ht="30.6" customHeight="1" x14ac:dyDescent="0.2">
      <c r="A11" s="53" t="s">
        <v>73</v>
      </c>
      <c r="B11" s="143" t="s">
        <v>119</v>
      </c>
      <c r="C11" s="144" t="s">
        <v>120</v>
      </c>
      <c r="D11" s="145" t="s">
        <v>121</v>
      </c>
      <c r="E11" s="243" t="s">
        <v>279</v>
      </c>
      <c r="F11" s="244" t="s">
        <v>279</v>
      </c>
      <c r="G11" s="146"/>
      <c r="H11" s="147"/>
    </row>
    <row r="12" spans="1:9" x14ac:dyDescent="0.2">
      <c r="A12" s="159"/>
      <c r="B12" s="245" t="s">
        <v>122</v>
      </c>
      <c r="C12" s="246" t="s">
        <v>122</v>
      </c>
      <c r="D12" s="247" t="s">
        <v>123</v>
      </c>
      <c r="E12" s="248" t="s">
        <v>124</v>
      </c>
      <c r="F12" s="247" t="s">
        <v>125</v>
      </c>
      <c r="G12" s="146"/>
      <c r="H12" s="147"/>
    </row>
    <row r="13" spans="1:9" hidden="1" x14ac:dyDescent="0.2">
      <c r="A13" s="249" t="s">
        <v>74</v>
      </c>
      <c r="B13" s="144" t="str">
        <f>'Step 3 - Hydrology'!B37</f>
        <v>NA</v>
      </c>
      <c r="C13" s="250"/>
      <c r="D13" s="251"/>
      <c r="E13" s="252"/>
      <c r="F13" s="253" t="str">
        <f>IF(B13="NA","NA",12*E13/(C$7*43560))</f>
        <v>NA</v>
      </c>
      <c r="G13" s="146"/>
      <c r="H13" s="147"/>
    </row>
    <row r="14" spans="1:9" x14ac:dyDescent="0.2">
      <c r="A14" s="53" t="s">
        <v>126</v>
      </c>
      <c r="B14" s="144" t="str">
        <f>'Step 3 - Hydrology'!B38</f>
        <v>NA</v>
      </c>
      <c r="C14" s="250"/>
      <c r="D14" s="251"/>
      <c r="E14" s="252"/>
      <c r="F14" s="253">
        <f>12*E14/(C$7*43560)</f>
        <v>0</v>
      </c>
      <c r="G14" s="146"/>
      <c r="H14" s="147"/>
    </row>
    <row r="15" spans="1:9" x14ac:dyDescent="0.2">
      <c r="A15" s="53" t="s">
        <v>127</v>
      </c>
      <c r="B15" s="144">
        <f>'Step 3 - Hydrology'!B39</f>
        <v>0</v>
      </c>
      <c r="C15" s="250"/>
      <c r="D15" s="251"/>
      <c r="E15" s="252"/>
      <c r="F15" s="253">
        <f t="shared" ref="F15:F20" si="0">12*E15/(C$7*43560)</f>
        <v>0</v>
      </c>
      <c r="G15" s="146"/>
      <c r="H15" s="147"/>
    </row>
    <row r="16" spans="1:9" x14ac:dyDescent="0.2">
      <c r="A16" s="53" t="s">
        <v>128</v>
      </c>
      <c r="B16" s="144">
        <f>'Step 3 - Hydrology'!B40</f>
        <v>0</v>
      </c>
      <c r="C16" s="250"/>
      <c r="D16" s="251"/>
      <c r="E16" s="252"/>
      <c r="F16" s="253">
        <f t="shared" si="0"/>
        <v>0</v>
      </c>
      <c r="G16" s="146"/>
      <c r="H16" s="147"/>
    </row>
    <row r="17" spans="1:8" x14ac:dyDescent="0.2">
      <c r="A17" s="53" t="s">
        <v>129</v>
      </c>
      <c r="B17" s="144">
        <f>'Step 3 - Hydrology'!B41</f>
        <v>0</v>
      </c>
      <c r="C17" s="250"/>
      <c r="D17" s="251"/>
      <c r="E17" s="252"/>
      <c r="F17" s="253">
        <f t="shared" si="0"/>
        <v>0</v>
      </c>
      <c r="G17" s="146"/>
      <c r="H17" s="147"/>
    </row>
    <row r="18" spans="1:8" x14ac:dyDescent="0.2">
      <c r="A18" s="53" t="s">
        <v>130</v>
      </c>
      <c r="B18" s="144">
        <f>'Step 3 - Hydrology'!B42</f>
        <v>0</v>
      </c>
      <c r="C18" s="250"/>
      <c r="D18" s="251"/>
      <c r="E18" s="252"/>
      <c r="F18" s="253">
        <f t="shared" si="0"/>
        <v>0</v>
      </c>
      <c r="G18" s="146"/>
      <c r="H18" s="147"/>
    </row>
    <row r="19" spans="1:8" x14ac:dyDescent="0.2">
      <c r="A19" s="53" t="s">
        <v>131</v>
      </c>
      <c r="B19" s="144">
        <f>'Step 3 - Hydrology'!B43</f>
        <v>0</v>
      </c>
      <c r="C19" s="250"/>
      <c r="D19" s="251"/>
      <c r="E19" s="252"/>
      <c r="F19" s="253">
        <f t="shared" si="0"/>
        <v>0</v>
      </c>
    </row>
    <row r="20" spans="1:8" x14ac:dyDescent="0.2">
      <c r="A20" s="53" t="s">
        <v>132</v>
      </c>
      <c r="B20" s="144">
        <f>'Step 3 - Hydrology'!B44</f>
        <v>0</v>
      </c>
      <c r="C20" s="250"/>
      <c r="D20" s="251"/>
      <c r="E20" s="252"/>
      <c r="F20" s="253">
        <f t="shared" si="0"/>
        <v>0</v>
      </c>
    </row>
    <row r="21" spans="1:8" x14ac:dyDescent="0.2">
      <c r="D21" s="123"/>
      <c r="E21" s="153"/>
    </row>
    <row r="22" spans="1:8" x14ac:dyDescent="0.2">
      <c r="A22" s="241" t="s">
        <v>261</v>
      </c>
      <c r="B22" s="241"/>
      <c r="C22" s="241"/>
      <c r="D22" s="241"/>
      <c r="E22" s="241"/>
      <c r="F22" s="241"/>
      <c r="G22" s="241"/>
    </row>
    <row r="23" spans="1:8" ht="51" x14ac:dyDescent="0.2">
      <c r="A23" s="53" t="s">
        <v>133</v>
      </c>
      <c r="B23" s="254" t="s">
        <v>134</v>
      </c>
      <c r="C23" s="254" t="s">
        <v>142</v>
      </c>
      <c r="D23" s="254" t="s">
        <v>143</v>
      </c>
      <c r="E23" s="254" t="s">
        <v>135</v>
      </c>
      <c r="F23" s="254" t="s">
        <v>216</v>
      </c>
      <c r="G23" s="254" t="s">
        <v>144</v>
      </c>
    </row>
    <row r="24" spans="1:8" x14ac:dyDescent="0.2">
      <c r="A24" s="53"/>
      <c r="B24" s="254"/>
      <c r="C24" s="255"/>
      <c r="D24" s="254" t="s">
        <v>136</v>
      </c>
      <c r="E24" s="254"/>
      <c r="F24" s="254"/>
    </row>
    <row r="25" spans="1:8" x14ac:dyDescent="0.2">
      <c r="A25" s="53"/>
      <c r="B25" s="53"/>
      <c r="C25" s="53" t="s">
        <v>137</v>
      </c>
      <c r="D25" s="53" t="s">
        <v>137</v>
      </c>
      <c r="E25" s="53"/>
      <c r="F25" s="53"/>
    </row>
    <row r="26" spans="1:8" x14ac:dyDescent="0.2">
      <c r="A26" s="159" t="s">
        <v>138</v>
      </c>
      <c r="B26" s="159" t="s">
        <v>29</v>
      </c>
      <c r="C26" s="159" t="s">
        <v>139</v>
      </c>
      <c r="D26" s="159" t="s">
        <v>140</v>
      </c>
      <c r="E26" s="159" t="s">
        <v>124</v>
      </c>
      <c r="F26" s="159" t="s">
        <v>124</v>
      </c>
      <c r="G26" s="240"/>
    </row>
    <row r="27" spans="1:8" hidden="1" x14ac:dyDescent="0.2">
      <c r="A27" s="249" t="s">
        <v>74</v>
      </c>
      <c r="B27" s="256" t="str">
        <f>IF(B13="NA","NA",F13/'Step 3 - Hydrology'!B18)</f>
        <v>NA</v>
      </c>
      <c r="C27" s="257"/>
      <c r="D27" s="125" t="str">
        <f>IF(B27="NA","NA",1-C13/'Step 3 - Hydrology'!G18)</f>
        <v>NA</v>
      </c>
      <c r="E27" s="173" t="str">
        <f>'Step 3 - Hydrology'!G37</f>
        <v>NA</v>
      </c>
      <c r="F27" s="173" t="str">
        <f>IF(B13="NA","NA",E13)</f>
        <v>NA</v>
      </c>
      <c r="G27" s="151" t="str">
        <f>IF(B13="NA","NA",F27/E27)</f>
        <v>NA</v>
      </c>
    </row>
    <row r="28" spans="1:8" x14ac:dyDescent="0.2">
      <c r="A28" s="53" t="s">
        <v>141</v>
      </c>
      <c r="B28" s="256" t="e">
        <f>F14/'Step 3 - Hydrology'!B19</f>
        <v>#DIV/0!</v>
      </c>
      <c r="C28" s="257"/>
      <c r="D28" s="125" t="e">
        <f>1-C14/'Step 3 - Hydrology'!G19</f>
        <v>#DIV/0!</v>
      </c>
      <c r="E28" s="173" t="str">
        <f>'Step 3 - Hydrology'!G38</f>
        <v>NA</v>
      </c>
      <c r="F28" s="173">
        <f>E14</f>
        <v>0</v>
      </c>
      <c r="G28" s="151" t="e">
        <f>F28/E28</f>
        <v>#VALUE!</v>
      </c>
    </row>
    <row r="29" spans="1:8" x14ac:dyDescent="0.2">
      <c r="A29" s="53" t="s">
        <v>127</v>
      </c>
      <c r="B29" s="256" t="e">
        <f>F15/'Step 3 - Hydrology'!B20</f>
        <v>#DIV/0!</v>
      </c>
      <c r="C29" s="257"/>
      <c r="D29" s="125" t="e">
        <f>1-C15/'Step 3 - Hydrology'!G20</f>
        <v>#DIV/0!</v>
      </c>
      <c r="E29" s="173" t="e">
        <f>'Step 3 - Hydrology'!G39</f>
        <v>#DIV/0!</v>
      </c>
      <c r="F29" s="173">
        <f>E15</f>
        <v>0</v>
      </c>
      <c r="G29" s="151" t="e">
        <f t="shared" ref="G29:G34" si="1">F29/E29</f>
        <v>#DIV/0!</v>
      </c>
    </row>
    <row r="30" spans="1:8" x14ac:dyDescent="0.2">
      <c r="A30" s="53" t="s">
        <v>128</v>
      </c>
      <c r="B30" s="256" t="e">
        <f>F16/'Step 3 - Hydrology'!B21</f>
        <v>#DIV/0!</v>
      </c>
      <c r="C30" s="257"/>
      <c r="D30" s="125" t="e">
        <f>1-C16/'Step 3 - Hydrology'!G21</f>
        <v>#DIV/0!</v>
      </c>
      <c r="E30" s="173" t="e">
        <f>'Step 3 - Hydrology'!G40</f>
        <v>#DIV/0!</v>
      </c>
      <c r="F30" s="173">
        <f>E16</f>
        <v>0</v>
      </c>
      <c r="G30" s="151" t="e">
        <f t="shared" si="1"/>
        <v>#DIV/0!</v>
      </c>
    </row>
    <row r="31" spans="1:8" x14ac:dyDescent="0.2">
      <c r="A31" s="53" t="s">
        <v>129</v>
      </c>
      <c r="B31" s="256" t="e">
        <f>F17/'Step 3 - Hydrology'!B22</f>
        <v>#DIV/0!</v>
      </c>
      <c r="C31" s="257"/>
      <c r="D31" s="125" t="e">
        <f>1-C17/'Step 3 - Hydrology'!G22</f>
        <v>#DIV/0!</v>
      </c>
      <c r="E31" s="173" t="e">
        <f>'Step 3 - Hydrology'!G41</f>
        <v>#DIV/0!</v>
      </c>
      <c r="F31" s="173">
        <f>E17</f>
        <v>0</v>
      </c>
      <c r="G31" s="151" t="e">
        <f t="shared" si="1"/>
        <v>#DIV/0!</v>
      </c>
    </row>
    <row r="32" spans="1:8" x14ac:dyDescent="0.2">
      <c r="A32" s="53" t="s">
        <v>130</v>
      </c>
      <c r="B32" s="256" t="e">
        <f>F18/'Step 3 - Hydrology'!B23</f>
        <v>#DIV/0!</v>
      </c>
      <c r="C32" s="257"/>
      <c r="D32" s="125" t="e">
        <f>1-C18/'Step 3 - Hydrology'!G23</f>
        <v>#DIV/0!</v>
      </c>
      <c r="E32" s="173" t="e">
        <f>'Step 3 - Hydrology'!G42</f>
        <v>#DIV/0!</v>
      </c>
      <c r="F32" s="173">
        <f t="shared" ref="F32:F34" si="2">E18</f>
        <v>0</v>
      </c>
      <c r="G32" s="151" t="e">
        <f t="shared" si="1"/>
        <v>#DIV/0!</v>
      </c>
    </row>
    <row r="33" spans="1:9" x14ac:dyDescent="0.2">
      <c r="A33" s="53" t="s">
        <v>131</v>
      </c>
      <c r="B33" s="256" t="e">
        <f>F19/'Step 3 - Hydrology'!B24</f>
        <v>#DIV/0!</v>
      </c>
      <c r="C33" s="257"/>
      <c r="D33" s="125" t="e">
        <f>1-C19/'Step 3 - Hydrology'!G24</f>
        <v>#DIV/0!</v>
      </c>
      <c r="E33" s="173" t="e">
        <f>'Step 3 - Hydrology'!G43</f>
        <v>#DIV/0!</v>
      </c>
      <c r="F33" s="173">
        <f t="shared" si="2"/>
        <v>0</v>
      </c>
      <c r="G33" s="151" t="e">
        <f t="shared" si="1"/>
        <v>#DIV/0!</v>
      </c>
    </row>
    <row r="34" spans="1:9" x14ac:dyDescent="0.2">
      <c r="A34" s="53" t="s">
        <v>132</v>
      </c>
      <c r="B34" s="256" t="e">
        <f>F20/'Step 3 - Hydrology'!B25</f>
        <v>#DIV/0!</v>
      </c>
      <c r="C34" s="257"/>
      <c r="D34" s="125" t="e">
        <f>1-C20/'Step 3 - Hydrology'!G25</f>
        <v>#DIV/0!</v>
      </c>
      <c r="E34" s="173" t="e">
        <f>'Step 3 - Hydrology'!G44</f>
        <v>#DIV/0!</v>
      </c>
      <c r="F34" s="173">
        <f t="shared" si="2"/>
        <v>0</v>
      </c>
      <c r="G34" s="151" t="e">
        <f t="shared" si="1"/>
        <v>#DIV/0!</v>
      </c>
    </row>
    <row r="35" spans="1:9" x14ac:dyDescent="0.2">
      <c r="A35" s="258" t="s">
        <v>145</v>
      </c>
      <c r="B35" s="259"/>
      <c r="C35" s="153"/>
      <c r="D35" s="151"/>
      <c r="E35" s="171"/>
      <c r="F35" s="172"/>
      <c r="G35" s="173"/>
      <c r="H35" s="173"/>
    </row>
    <row r="36" spans="1:9" x14ac:dyDescent="0.2">
      <c r="A36" s="258"/>
      <c r="B36" s="259"/>
      <c r="C36" s="153"/>
      <c r="D36" s="151"/>
      <c r="E36" s="171"/>
      <c r="F36" s="172"/>
      <c r="G36" s="173"/>
      <c r="H36" s="173"/>
    </row>
    <row r="37" spans="1:9" x14ac:dyDescent="0.2">
      <c r="A37" s="258"/>
      <c r="B37" s="259"/>
      <c r="C37" s="153"/>
      <c r="D37" s="151"/>
      <c r="E37" s="171"/>
      <c r="F37" s="172"/>
      <c r="G37" s="173"/>
      <c r="H37" s="173"/>
    </row>
    <row r="38" spans="1:9" x14ac:dyDescent="0.2">
      <c r="A38" s="258"/>
      <c r="B38" s="259"/>
      <c r="C38" s="153"/>
      <c r="D38" s="151"/>
      <c r="E38" s="171"/>
      <c r="F38" s="172"/>
      <c r="G38" s="173"/>
      <c r="H38" s="173"/>
    </row>
    <row r="39" spans="1:9" x14ac:dyDescent="0.2">
      <c r="A39" s="258"/>
      <c r="B39" s="259"/>
      <c r="C39" s="153"/>
      <c r="D39" s="151"/>
      <c r="E39" s="171"/>
      <c r="F39" s="172"/>
      <c r="G39" s="173"/>
      <c r="H39" s="173"/>
    </row>
    <row r="40" spans="1:9" x14ac:dyDescent="0.2">
      <c r="A40" s="258"/>
      <c r="B40" s="259"/>
      <c r="C40" s="153"/>
      <c r="D40" s="151"/>
      <c r="E40" s="171"/>
      <c r="F40" s="172"/>
      <c r="G40" s="173"/>
      <c r="H40" s="173"/>
    </row>
    <row r="41" spans="1:9" ht="15.75" thickBot="1" x14ac:dyDescent="0.3">
      <c r="A41" s="184"/>
      <c r="B41" s="260"/>
      <c r="C41" s="261"/>
      <c r="D41" s="212"/>
      <c r="E41" s="262"/>
      <c r="F41" s="263"/>
      <c r="G41" s="202"/>
      <c r="H41" s="173"/>
    </row>
    <row r="42" spans="1:9" ht="15" x14ac:dyDescent="0.25">
      <c r="A42" s="41" t="s">
        <v>246</v>
      </c>
      <c r="B42" s="41"/>
      <c r="C42" s="41"/>
      <c r="D42" s="41"/>
      <c r="E42" s="41"/>
      <c r="F42" s="41"/>
      <c r="G42" s="41"/>
      <c r="H42" s="173"/>
      <c r="I42" s="27"/>
    </row>
    <row r="43" spans="1:9" ht="15" x14ac:dyDescent="0.25">
      <c r="A43" s="42" t="s">
        <v>247</v>
      </c>
      <c r="B43" s="42"/>
      <c r="C43" s="42"/>
      <c r="D43" s="42"/>
      <c r="E43" s="42"/>
      <c r="F43" s="42"/>
      <c r="G43" s="43" t="str">
        <f>'CL_1 - Site Screening'!J70</f>
        <v>IDALS: Issue Date: 08/03/2020</v>
      </c>
      <c r="H43" s="27"/>
    </row>
  </sheetData>
  <sheetProtection algorithmName="SHA-512" hashValue="Gt3goSP3ic/i1ORx0YaP6y5ngu9EuOfOlDT4G7LbkRQi1+mLhWtTSlz1qe+vANUtg/zA/Ut5+HovRXlK3lkB1g==" saltValue="S3T7K+KSkympQnemO5pJEg==" spinCount="100000" sheet="1" selectLockedCells="1"/>
  <mergeCells count="3">
    <mergeCell ref="B2:E2"/>
    <mergeCell ref="E7:G7"/>
    <mergeCell ref="A1:G1"/>
  </mergeCells>
  <conditionalFormatting sqref="G42:G43">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Site Screening</vt:lpstr>
      <vt:lpstr>CL_2 - Design Summary</vt:lpstr>
      <vt:lpstr>DE_1 - Watershed Info</vt:lpstr>
      <vt:lpstr>Step 3 - Hydrology</vt:lpstr>
      <vt:lpstr>Step 4 - Pre-treat</vt:lpstr>
      <vt:lpstr>Step 5-7 Final Storage Volumes</vt:lpstr>
      <vt:lpstr>Step 9 - Results</vt:lpstr>
      <vt:lpstr>'CL_1 - Site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Griffin, Joe [DNR]</cp:lastModifiedBy>
  <cp:lastPrinted>2020-06-25T19:44:57Z</cp:lastPrinted>
  <dcterms:created xsi:type="dcterms:W3CDTF">2017-07-05T15:47:13Z</dcterms:created>
  <dcterms:modified xsi:type="dcterms:W3CDTF">2022-02-16T16:22:37Z</dcterms:modified>
</cp:coreProperties>
</file>