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05" windowHeight="6720" tabRatio="677" firstSheet="1" activeTab="2"/>
  </bookViews>
  <sheets>
    <sheet name="Notes" sheetId="1" r:id="rId1"/>
    <sheet name="Introduction" sheetId="2" r:id="rId2"/>
    <sheet name="onegas" sheetId="3" r:id="rId3"/>
    <sheet name="multigas" sheetId="4" r:id="rId4"/>
    <sheet name="Background" sheetId="5" r:id="rId5"/>
  </sheets>
  <definedNames>
    <definedName name="_xlnm.Print_Area" localSheetId="4">'Background'!$A$1:$Q$93</definedName>
    <definedName name="_xlnm.Print_Area" localSheetId="1">'Introduction'!$A$1:$O$16</definedName>
    <definedName name="_xlnm.Print_Area" localSheetId="3">'multigas'!$A$1:$P$36</definedName>
    <definedName name="_xlnm.Print_Area" localSheetId="2">'onegas'!$A$1:$Q$35</definedName>
  </definedNames>
  <calcPr fullCalcOnLoad="1"/>
</workbook>
</file>

<file path=xl/sharedStrings.xml><?xml version="1.0" encoding="utf-8"?>
<sst xmlns="http://schemas.openxmlformats.org/spreadsheetml/2006/main" count="381" uniqueCount="283">
  <si>
    <t>The equations used, and their derivation, are detailed in the "Background" worksheet.</t>
  </si>
  <si>
    <t>SCREEN3, by default, assumes specific values for the stack gas exit velocity and temperature, and calculates an effective stack diameter</t>
  </si>
  <si>
    <t>NOTES:</t>
  </si>
  <si>
    <t>heat release rate (BTU/hr)</t>
  </si>
  <si>
    <t>net heat release rate (J/sec)</t>
  </si>
  <si>
    <t>effective stack height (ft)</t>
  </si>
  <si>
    <t>stack temperature (°K)</t>
  </si>
  <si>
    <t>effective stack diameter (ft)</t>
  </si>
  <si>
    <t>volumetric flow rate (acfm)</t>
  </si>
  <si>
    <t>net heat release rate (BTU/hr)</t>
  </si>
  <si>
    <t>Facility:</t>
  </si>
  <si>
    <t>Project:</t>
  </si>
  <si>
    <r>
      <t>heating value (BTU/ft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</si>
  <si>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Gas</t>
  </si>
  <si>
    <t>Operation</t>
  </si>
  <si>
    <t>landfill</t>
  </si>
  <si>
    <t>methane</t>
  </si>
  <si>
    <r>
      <t>NH</t>
    </r>
    <r>
      <rPr>
        <vertAlign val="subscript"/>
        <sz val="10"/>
        <rFont val="Arial"/>
        <family val="2"/>
      </rPr>
      <t>3</t>
    </r>
  </si>
  <si>
    <t>nitrogen plant</t>
  </si>
  <si>
    <t>Radiation Heat Loss % from Literature</t>
  </si>
  <si>
    <t>% Loss</t>
  </si>
  <si>
    <t>natural gas</t>
  </si>
  <si>
    <t>propane</t>
  </si>
  <si>
    <t>butane</t>
  </si>
  <si>
    <t>ethylene</t>
  </si>
  <si>
    <t>hydrogen</t>
  </si>
  <si>
    <t>gas, MW about 17</t>
  </si>
  <si>
    <t>gas, MW about 40</t>
  </si>
  <si>
    <t>methane + LPG</t>
  </si>
  <si>
    <t>16 - 26</t>
  </si>
  <si>
    <t>40 (with steam)</t>
  </si>
  <si>
    <t>50 (without steam)</t>
  </si>
  <si>
    <t>general equations:</t>
  </si>
  <si>
    <t>stack temperature (°F)</t>
  </si>
  <si>
    <t>ambient temperature (°K)</t>
  </si>
  <si>
    <t>where:</t>
  </si>
  <si>
    <t>Effective stack height:</t>
  </si>
  <si>
    <t>Due to the high temperature associated with flares, the effective release height of the plume can be calculated as follows:</t>
  </si>
  <si>
    <t>Hsl = Hs + (4.56x10-3)*((Hr/4.1868)^0.478) (m)</t>
  </si>
  <si>
    <t>Hsl = effective flare release height (m)</t>
  </si>
  <si>
    <t>Hs = stack height above ground (m)</t>
  </si>
  <si>
    <t>Hr = net heat release rate (J/s) = (1 - F)H    (for a single gas)</t>
  </si>
  <si>
    <t>H = total heat (sensible + radiated) release rate (J/s)</t>
  </si>
  <si>
    <t>F = radiative loss factor (%)</t>
  </si>
  <si>
    <t>Gathering the constants together and converting from meters to feet:</t>
  </si>
  <si>
    <t>Hsl = Hs + (7.54x10-3)*(Hr^0.478)  (ft)</t>
  </si>
  <si>
    <t>Effective stack diameter:</t>
  </si>
  <si>
    <t>The buoyancy flux from the flare is:</t>
  </si>
  <si>
    <t>F = (g*Hr)/(π*ρ*T*Cp) = 2.59 *(10^-3)*Hr/T</t>
  </si>
  <si>
    <t>T = air temperature (°K)</t>
  </si>
  <si>
    <t>The buoyancy flux for stack releases is:</t>
  </si>
  <si>
    <t>F = g*Vs*(rs^2)*(Ts-T)/Ts</t>
  </si>
  <si>
    <t>Vs = exit velocity (m/s)</t>
  </si>
  <si>
    <t>rs = stack inner radius (m)</t>
  </si>
  <si>
    <t>Ts = stack exit temperature (°K)</t>
  </si>
  <si>
    <t>ds = 0.1066*[(Ts/(T*(Ts-T))*(Hr/Vs)]^0.5  (ft)</t>
  </si>
  <si>
    <t xml:space="preserve"> a default radiative heat loss factor of 55%.  This is very conservative as most gases have values about half of that.)</t>
  </si>
  <si>
    <t>The value of the radiative heat loss factor depends on the burning conditions of the flare.  If there is information specific to the flare, it should be used.  (SCREEN3 recommends</t>
  </si>
  <si>
    <t>The idea here is to adjust the stack diameter (holding other stack parameters constant, including the exit velocity) so that the point source (a virtual flare) will yield the same</t>
  </si>
  <si>
    <t>g = acceleration due to gravity = 9.81 (m/s2)</t>
  </si>
  <si>
    <t>ρ = density of air = 1.2 (kg/m3)</t>
  </si>
  <si>
    <t>Cp = specific heat of dry air constant = 1004 (J/(Kg °K)</t>
  </si>
  <si>
    <t>predicted ambient pollutant concentrations as a flare (modeled as a flare).  The effective stack diameter can be determined by equating the buoyancy flux from the flare</t>
  </si>
  <si>
    <t>(hot source—Brigg’s equation 4.20) to the general buoyancy flux equation.  Equivalently, this is making the flare plume height equal to that associated with a conventional stack.</t>
  </si>
  <si>
    <t>Source:</t>
  </si>
  <si>
    <t>@  http://www.ene.gov.on.ca/envision/techdocs/3614e02.htm</t>
  </si>
  <si>
    <t>Setting these two equations equal, solving for the stack diameter (2*rs), substituting the above values for the constants, and converting from meters to feet:</t>
  </si>
  <si>
    <t>(Q may be used in some references instead of H)</t>
  </si>
  <si>
    <t>ethane</t>
  </si>
  <si>
    <t xml:space="preserve">  Trinity Consultants (2nd ed.)</t>
  </si>
  <si>
    <t>actual stack exit velocity (fps)</t>
  </si>
  <si>
    <t>**</t>
  </si>
  <si>
    <t>biogas</t>
  </si>
  <si>
    <t>lagoon</t>
  </si>
  <si>
    <r>
      <t xml:space="preserve">EP </t>
    </r>
    <r>
      <rPr>
        <i/>
        <sz val="10"/>
        <rFont val="Arial"/>
        <family val="2"/>
      </rPr>
      <t>#</t>
    </r>
  </si>
  <si>
    <t>actual stack exit velocity (m/sec)</t>
  </si>
  <si>
    <t>(when emissions are, or can be approximated as, a single gas)</t>
  </si>
  <si>
    <t>(when emissions are from multiple gases)</t>
  </si>
  <si>
    <t>Gas Component</t>
  </si>
  <si>
    <t>Low Heat Value</t>
  </si>
  <si>
    <r>
      <t>(kcal/m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</si>
  <si>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(BTU/ft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</si>
  <si>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Hydrogen</t>
  </si>
  <si>
    <t>Natural Gas</t>
  </si>
  <si>
    <t>Butylene-1</t>
  </si>
  <si>
    <t>C5+ Hydrocarbons</t>
  </si>
  <si>
    <t>Methane (CH4)</t>
  </si>
  <si>
    <t>Ethane (C2H6)</t>
  </si>
  <si>
    <t>Propane (C3H8)</t>
  </si>
  <si>
    <t>Butane (C4H10)</t>
  </si>
  <si>
    <t>Ethylene (C2H4)</t>
  </si>
  <si>
    <t>Propylene (C3H6)</t>
  </si>
  <si>
    <t>Acetylene (C2H2)</t>
  </si>
  <si>
    <t>Gas Fraction</t>
  </si>
  <si>
    <t>1 BTU = 1055 Joule = 0.001055 MJ = 252 calories = 0.252 kcal</t>
  </si>
  <si>
    <t>Low Heat Value Fraction</t>
  </si>
  <si>
    <t>yellow</t>
  </si>
  <si>
    <t>Typical Heating Values (also see table on "multigas" worksheet)</t>
  </si>
  <si>
    <t>values is encountered, use the low end value (also called the net heating value, obtained by subtracting the latent heat of vaporization from the</t>
  </si>
  <si>
    <t>Use the "onegas" worksheet for flares burning one gas.  Use the "multigas" worksheet for flares burning two or more gases.  When a range of heating</t>
  </si>
  <si>
    <t>- The Engineering Tool Box @ http://www.engineeringtoolbox.com/gross-net-heating-values-d_420.html.</t>
  </si>
  <si>
    <t>- Alberta Environment @ http://environment.gov.ab.ca/info/library/7223.xls</t>
  </si>
  <si>
    <t>SO2 emission rate (lb/hr)</t>
  </si>
  <si>
    <t>(default value is 98%)</t>
  </si>
  <si>
    <t>Carbon Monoxide (CO)</t>
  </si>
  <si>
    <t>Hydrogen Sulfide (H2S)</t>
  </si>
  <si>
    <t>Totals</t>
  </si>
  <si>
    <t>volumetric flow rate (scfm)</t>
  </si>
  <si>
    <t>H2S --&gt; SO2 conversion efficiency (%)</t>
  </si>
  <si>
    <t>P = (ρRT)/M</t>
  </si>
  <si>
    <t>or</t>
  </si>
  <si>
    <t>ρ = (PM/RT)</t>
  </si>
  <si>
    <t>where, using metric units:</t>
  </si>
  <si>
    <t>T = temperature (°K)</t>
  </si>
  <si>
    <t>The emission rate can thus be expressed as:</t>
  </si>
  <si>
    <t>The Ideal Gas Law and emission rate determination</t>
  </si>
  <si>
    <t>One form of the Ideal Gas Law is:</t>
  </si>
  <si>
    <t>emis rate = gas flow rate x ρ</t>
  </si>
  <si>
    <t>P = pressure of gas = 101.325 kPa</t>
  </si>
  <si>
    <t>M = molecular weight of gas = 64.1 g/mole for SO2</t>
  </si>
  <si>
    <t>R = gas constant = 8.314 J/mole/°K</t>
  </si>
  <si>
    <t>ρ = mass density of gas (g/m3)</t>
  </si>
  <si>
    <t>ethanol plant</t>
  </si>
  <si>
    <t>ethanol VOCs</t>
  </si>
  <si>
    <r>
      <t>2516, 2282</t>
    </r>
    <r>
      <rPr>
        <vertAlign val="superscript"/>
        <sz val="10"/>
        <rFont val="Arial"/>
        <family val="2"/>
      </rPr>
      <t>e</t>
    </r>
  </si>
  <si>
    <r>
      <t>1594</t>
    </r>
    <r>
      <rPr>
        <vertAlign val="superscript"/>
        <sz val="10"/>
        <rFont val="Arial"/>
        <family val="2"/>
      </rPr>
      <t>e</t>
    </r>
  </si>
  <si>
    <r>
      <t>of 200 BTU/ft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(no assist), or 300 BTU/ft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(steam or air assist).</t>
    </r>
  </si>
  <si>
    <t>Description</t>
  </si>
  <si>
    <t>optional --&gt; actual stack height (ft)</t>
  </si>
  <si>
    <t>Thus, using an estimated stack gas exit temperature and the actual exit velocity to the flare, an effective stack diameter can be calculated.</t>
  </si>
  <si>
    <r>
      <t>stack temperature (°F)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</si>
  <si>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0"/>
      </rPr>
      <t xml:space="preserve"> Default stack temperature is 1273°K = 1832°F.</t>
    </r>
  </si>
  <si>
    <r>
      <t>c</t>
    </r>
    <r>
      <rPr>
        <sz val="10"/>
        <rFont val="Arial"/>
        <family val="2"/>
      </rPr>
      <t xml:space="preserve"> Default value is 55% (SCREEN3).  This is conservative.</t>
    </r>
  </si>
  <si>
    <t>heat release rate (cal/sec)</t>
  </si>
  <si>
    <t>net heat release rate (cal/sec)</t>
  </si>
  <si>
    <t>actual stack diameter (ft)</t>
  </si>
  <si>
    <r>
      <t>ambient temperature (°F)</t>
    </r>
    <r>
      <rPr>
        <vertAlign val="superscript"/>
        <sz val="10"/>
        <rFont val="Arial"/>
        <family val="2"/>
      </rPr>
      <t>a</t>
    </r>
  </si>
  <si>
    <r>
      <t>radiative heat loss (%)</t>
    </r>
    <r>
      <rPr>
        <vertAlign val="superscript"/>
        <sz val="10"/>
        <rFont val="Arial"/>
        <family val="2"/>
      </rPr>
      <t>c</t>
    </r>
  </si>
  <si>
    <t>(default value is 1832 °F)</t>
  </si>
  <si>
    <t>gross, or higher, value).  If H2S is being flared, the resulting SO2 emission rate may be estimated.</t>
  </si>
  <si>
    <r>
      <t>**</t>
    </r>
    <r>
      <rPr>
        <sz val="10"/>
        <rFont val="Arial"/>
        <family val="0"/>
      </rPr>
      <t xml:space="preserve"> Values for model input</t>
    </r>
  </si>
  <si>
    <t>Modeling Flares</t>
  </si>
  <si>
    <t>Flare sources can be treated in a similar way as point sources, except that there are buoyancy flux adjustments associated with radiative heat and heat losses.</t>
  </si>
  <si>
    <t>The thermal effects of the flame with its lift and expansion of the plume require an effective stack height and effective stack diameter to be calculated.</t>
  </si>
  <si>
    <r>
      <t>a</t>
    </r>
    <r>
      <rPr>
        <sz val="10"/>
        <rFont val="Arial"/>
        <family val="2"/>
      </rPr>
      <t xml:space="preserve"> Ambient temperature is set at the default value of 70°F.</t>
    </r>
  </si>
  <si>
    <t>Flares Modeled as Modified Point Sources</t>
  </si>
  <si>
    <t>known flow rate</t>
  </si>
  <si>
    <t>From http://bioenergy.ornl.gov/papers/misc/energy_conv.html:</t>
  </si>
  <si>
    <r>
      <t xml:space="preserve">Metric tonne </t>
    </r>
    <r>
      <rPr>
        <b/>
        <sz val="10"/>
        <rFont val="Arial"/>
        <family val="2"/>
      </rPr>
      <t>ethanol</t>
    </r>
    <r>
      <rPr>
        <sz val="10"/>
        <rFont val="Arial"/>
        <family val="0"/>
      </rPr>
      <t xml:space="preserve"> = 7.94 petroleum barrels = 1262 liters</t>
    </r>
  </si>
  <si>
    <r>
      <t>ethanol density (average) = 0.79 g/ml ( = metric tonnes/m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</si>
  <si>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Metric tonne gasoline = 8.53 barrels = 1356 liter = 43.5 GJ/t (LHV); 47.3 GJ/t (HHV)</t>
  </si>
  <si>
    <r>
      <t>gasoline density (average) = 0.73 g/ml ( = metric tonnes/m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</si>
  <si>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Gasoline:</t>
    </r>
    <r>
      <rPr>
        <sz val="10"/>
        <rFont val="Arial"/>
        <family val="0"/>
      </rPr>
      <t xml:space="preserve"> US gallon = 115,000 Btu = 121 MJ = 32 MJ/liter (LHV). HHV = 125,000 Btu/gallon = 132 MJ/gallon = 35 MJ/liter</t>
    </r>
  </si>
  <si>
    <t>From http://www.engineeringtoolbox.com/molecular-weight-gas-vapor-d_1156.html:</t>
  </si>
  <si>
    <t>Gas or Vapor</t>
  </si>
  <si>
    <t>Molecular Weight</t>
  </si>
  <si>
    <r>
      <t>Acetylene,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2</t>
    </r>
  </si>
  <si>
    <t>Air</t>
  </si>
  <si>
    <t>Ammonia</t>
  </si>
  <si>
    <t>Argon, Ar</t>
  </si>
  <si>
    <t>Benzene</t>
  </si>
  <si>
    <r>
      <t>N-Butane, 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10</t>
    </r>
  </si>
  <si>
    <t>Iso-Butane (2-Metyl propane)</t>
  </si>
  <si>
    <t>Butadiene</t>
  </si>
  <si>
    <t>1-Butene</t>
  </si>
  <si>
    <t>cis -2-Butene</t>
  </si>
  <si>
    <t>trans-2-Butene</t>
  </si>
  <si>
    <t>Isobutene</t>
  </si>
  <si>
    <r>
      <t>Carbon Dioxide, CO</t>
    </r>
    <r>
      <rPr>
        <vertAlign val="subscript"/>
        <sz val="10"/>
        <rFont val="Arial"/>
        <family val="2"/>
      </rPr>
      <t>2</t>
    </r>
  </si>
  <si>
    <t>Carbon Disulphide</t>
  </si>
  <si>
    <t>Carbon Monoxide, CO</t>
  </si>
  <si>
    <t>Chlorine</t>
  </si>
  <si>
    <t>Cyclohexane</t>
  </si>
  <si>
    <t>Deuterium</t>
  </si>
  <si>
    <r>
      <t>Ethane,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6</t>
    </r>
  </si>
  <si>
    <t>Ethyl Chloride</t>
  </si>
  <si>
    <r>
      <t>Ethylene,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4</t>
    </r>
  </si>
  <si>
    <t>Fluorine</t>
  </si>
  <si>
    <t>Helium, He</t>
  </si>
  <si>
    <t>N-Heptane</t>
  </si>
  <si>
    <t>Hexane</t>
  </si>
  <si>
    <t>Hydrochloric Acid</t>
  </si>
  <si>
    <r>
      <t>Hydrogen, H</t>
    </r>
    <r>
      <rPr>
        <vertAlign val="subscript"/>
        <sz val="10"/>
        <rFont val="Arial"/>
        <family val="2"/>
      </rPr>
      <t>2</t>
    </r>
  </si>
  <si>
    <t>Hydrogen Chloride</t>
  </si>
  <si>
    <t>Hydrogen Sulfide</t>
  </si>
  <si>
    <t>Hydroxyl, OH</t>
  </si>
  <si>
    <t>Krypton</t>
  </si>
  <si>
    <r>
      <t>Methane, CH</t>
    </r>
    <r>
      <rPr>
        <vertAlign val="subscript"/>
        <sz val="10"/>
        <rFont val="Arial"/>
        <family val="2"/>
      </rPr>
      <t>4</t>
    </r>
  </si>
  <si>
    <t>Methyl Alcohol</t>
  </si>
  <si>
    <t>Methyl Butane</t>
  </si>
  <si>
    <t>Methyl Chloride</t>
  </si>
  <si>
    <t>Neon, Ne</t>
  </si>
  <si>
    <r>
      <t>Nitric Oxide, NO</t>
    </r>
    <r>
      <rPr>
        <vertAlign val="subscript"/>
        <sz val="10"/>
        <rFont val="Arial"/>
        <family val="2"/>
      </rPr>
      <t>2</t>
    </r>
  </si>
  <si>
    <r>
      <t>Nitrogen, N</t>
    </r>
    <r>
      <rPr>
        <vertAlign val="subscript"/>
        <sz val="10"/>
        <rFont val="Arial"/>
        <family val="2"/>
      </rPr>
      <t>2</t>
    </r>
  </si>
  <si>
    <t>Nitrous Oxide</t>
  </si>
  <si>
    <t>N-Octane</t>
  </si>
  <si>
    <r>
      <t>Oxygen, O</t>
    </r>
    <r>
      <rPr>
        <vertAlign val="subscript"/>
        <sz val="10"/>
        <rFont val="Arial"/>
        <family val="2"/>
      </rPr>
      <t>2</t>
    </r>
  </si>
  <si>
    <t>Ozone</t>
  </si>
  <si>
    <t>N-Pentane</t>
  </si>
  <si>
    <t>Iso-Pentane</t>
  </si>
  <si>
    <r>
      <t>Propane, 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8</t>
    </r>
  </si>
  <si>
    <t>Propylene</t>
  </si>
  <si>
    <t>R-11</t>
  </si>
  <si>
    <t>R-12</t>
  </si>
  <si>
    <t>R-22</t>
  </si>
  <si>
    <t>R-114</t>
  </si>
  <si>
    <t>R-123</t>
  </si>
  <si>
    <t>R-134a</t>
  </si>
  <si>
    <t>R-611</t>
  </si>
  <si>
    <t>Sulfur</t>
  </si>
  <si>
    <t>Sulfur Dioxide</t>
  </si>
  <si>
    <t>Sulfuric Oxide</t>
  </si>
  <si>
    <t>Toluene</t>
  </si>
  <si>
    <t>Xenon</t>
  </si>
  <si>
    <r>
      <t>Water Vapor,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</si>
  <si>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The molecular weight of a substance, also called molecular mass, is the mass of one molecule of that substance,</t>
  </si>
  <si>
    <t>relative to the unified atomic mass unit u equal to 1/12 the mass of one atom of carbon-12.</t>
  </si>
  <si>
    <t>Ethyl Alcohol (ethanol)</t>
  </si>
  <si>
    <t>ethanol energy content (LHV) = 11,500 Btu/lb = 75,700 Btu/gallon = 26.7 GJ/t = 21.1 MJ/liter.</t>
  </si>
  <si>
    <t>HHV for ethanol = 84,000 Btu/gallon = 89 MJ/gallon = 23.4 MJ/liter</t>
  </si>
  <si>
    <t>known molecular wgt</t>
  </si>
  <si>
    <r>
      <t>BTU/ft</t>
    </r>
    <r>
      <rPr>
        <u val="single"/>
        <vertAlign val="superscript"/>
        <sz val="10"/>
        <rFont val="Arial"/>
        <family val="2"/>
      </rPr>
      <t>3</t>
    </r>
  </si>
  <si>
    <r>
      <t xml:space="preserve">200 - 300 </t>
    </r>
    <r>
      <rPr>
        <vertAlign val="superscript"/>
        <sz val="10"/>
        <rFont val="Arial"/>
        <family val="2"/>
      </rPr>
      <t>e</t>
    </r>
  </si>
  <si>
    <t>Ethyl Alcohol (Ethanol)</t>
  </si>
  <si>
    <r>
      <t>450 - 550, 896</t>
    </r>
    <r>
      <rPr>
        <vertAlign val="superscript"/>
        <sz val="10"/>
        <rFont val="Arial"/>
        <family val="2"/>
      </rPr>
      <t>f</t>
    </r>
  </si>
  <si>
    <t>Methane</t>
  </si>
  <si>
    <t>Propane</t>
  </si>
  <si>
    <t>Ethane</t>
  </si>
  <si>
    <t>↑OR↓</t>
  </si>
  <si>
    <t>Butane</t>
  </si>
  <si>
    <t>Ethylene</t>
  </si>
  <si>
    <t>**(opt.)</t>
  </si>
  <si>
    <t>32.1 - 0.0418v;  v = exit vel, m/sec</t>
  </si>
  <si>
    <t>molecular weight</t>
  </si>
  <si>
    <t>[21exp(-0.00323v)] + 11;  v = exit vel, m/sec</t>
  </si>
  <si>
    <r>
      <t>e</t>
    </r>
    <r>
      <rPr>
        <sz val="10"/>
        <rFont val="Arial"/>
        <family val="0"/>
      </rPr>
      <t xml:space="preserve"> Based on a permit limit to flare gas with minimum net heating value</t>
    </r>
  </si>
  <si>
    <r>
      <t>f</t>
    </r>
    <r>
      <rPr>
        <sz val="10"/>
        <rFont val="Arial"/>
        <family val="0"/>
      </rPr>
      <t xml:space="preserve"> Value from Fundamentals of Dispersion Modeling, Table 10-2,</t>
    </r>
  </si>
  <si>
    <r>
      <t>d</t>
    </r>
    <r>
      <rPr>
        <sz val="10"/>
        <rFont val="Arial"/>
        <family val="2"/>
      </rPr>
      <t xml:space="preserve"> Flow rate set by the default exit velocity of 20 m/sec (SCREEN3).</t>
    </r>
  </si>
  <si>
    <t>100 (approx.)</t>
  </si>
  <si>
    <r>
      <t>unknown flow rate</t>
    </r>
    <r>
      <rPr>
        <u val="single"/>
        <vertAlign val="superscript"/>
        <sz val="9"/>
        <rFont val="Arial"/>
        <family val="2"/>
      </rPr>
      <t>d</t>
    </r>
  </si>
  <si>
    <t>&lt;--mostly methane</t>
  </si>
  <si>
    <t>1) Lakes Environmental Consultants' report: PROPOSED GUIDANCE FOR AIR DISPERSION MODELLING</t>
  </si>
  <si>
    <t>2) Texas Commission on Environmental Quality, TECHNICAL BASIS FOR FLARE PARAMETERS, 10Sept04</t>
  </si>
  <si>
    <t>An alternate way of computing the net heat release from the total heat release is:</t>
  </si>
  <si>
    <t>Hr' = H[1 - 0.048(MW)^0.5]</t>
  </si>
  <si>
    <t>NOTE 3:</t>
  </si>
  <si>
    <t>where MW is the (mean) molecular weight of the flared gas.  If the molecular weight is reasonably certain,</t>
  </si>
  <si>
    <t>this is an alternative method of determining the effective stack parameters.</t>
  </si>
  <si>
    <t>unknown molecular wgt</t>
  </si>
  <si>
    <t>&lt;-from table</t>
  </si>
  <si>
    <r>
      <t>molecular weight</t>
    </r>
    <r>
      <rPr>
        <vertAlign val="superscript"/>
        <sz val="10"/>
        <rFont val="Arial"/>
        <family val="2"/>
      </rPr>
      <t>d</t>
    </r>
  </si>
  <si>
    <r>
      <t>unknown flow rate</t>
    </r>
    <r>
      <rPr>
        <u val="single"/>
        <vertAlign val="superscript"/>
        <sz val="10"/>
        <rFont val="Arial"/>
        <family val="2"/>
      </rPr>
      <t>e</t>
    </r>
  </si>
  <si>
    <r>
      <t>Heating Value Determination</t>
    </r>
    <r>
      <rPr>
        <vertAlign val="superscript"/>
        <sz val="10"/>
        <rFont val="Arial"/>
        <family val="2"/>
      </rPr>
      <t>f</t>
    </r>
  </si>
  <si>
    <r>
      <t xml:space="preserve">f </t>
    </r>
    <r>
      <rPr>
        <sz val="10"/>
        <rFont val="Arial"/>
        <family val="0"/>
      </rPr>
      <t>Sources:</t>
    </r>
  </si>
  <si>
    <r>
      <t>e</t>
    </r>
    <r>
      <rPr>
        <sz val="10"/>
        <rFont val="Arial"/>
        <family val="2"/>
      </rPr>
      <t xml:space="preserve"> Flow rate set by the default exit velocity of 20 m/sec (SCREEN3).</t>
    </r>
  </si>
  <si>
    <r>
      <t>Low Heat Value</t>
    </r>
    <r>
      <rPr>
        <u val="single"/>
        <vertAlign val="superscript"/>
        <sz val="10"/>
        <rFont val="Arial"/>
        <family val="2"/>
      </rPr>
      <t>g</t>
    </r>
  </si>
  <si>
    <r>
      <t>g</t>
    </r>
    <r>
      <rPr>
        <sz val="10"/>
        <rFont val="Arial"/>
        <family val="0"/>
      </rPr>
      <t xml:space="preserve"> Values adjusted from a standard temperature of 32°F (273°K) to 70°F (294°K).</t>
    </r>
  </si>
  <si>
    <r>
      <t>SO2 Emission Rate Determination</t>
    </r>
    <r>
      <rPr>
        <vertAlign val="superscript"/>
        <sz val="10"/>
        <rFont val="Arial"/>
        <family val="2"/>
      </rPr>
      <t>h</t>
    </r>
    <r>
      <rPr>
        <sz val="10"/>
        <rFont val="Arial"/>
        <family val="0"/>
      </rPr>
      <t xml:space="preserve"> (due to H2S emissions)</t>
    </r>
  </si>
  <si>
    <r>
      <t>h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SO2 emission rate  =  H2S flow rate @ STP  x  SO2 conversion efficiency  x  SO2 density @ STP (based on Ideal Gas Law)</t>
    </r>
  </si>
  <si>
    <t xml:space="preserve">2) Enter all input values only in the </t>
  </si>
  <si>
    <t>1) The effective stack height need not be used in the model as the conservative approach would be to ignore the increased stack height.</t>
  </si>
  <si>
    <t>2) Enter all input values only in the</t>
  </si>
  <si>
    <t>Gasoline (approx.)</t>
  </si>
  <si>
    <r>
      <t>cells in one of the four columns.  Values for model input are asterisked (</t>
    </r>
    <r>
      <rPr>
        <b/>
        <sz val="10"/>
        <color indexed="10"/>
        <rFont val="Arial"/>
        <family val="2"/>
      </rPr>
      <t>**</t>
    </r>
    <r>
      <rPr>
        <sz val="10"/>
        <rFont val="Arial"/>
        <family val="0"/>
      </rPr>
      <t>).</t>
    </r>
  </si>
  <si>
    <r>
      <t>cells in one of the four columns.  Values for model input are asterisked (</t>
    </r>
    <r>
      <rPr>
        <b/>
        <sz val="10"/>
        <color indexed="10"/>
        <rFont val="Arial"/>
        <family val="2"/>
      </rPr>
      <t>**</t>
    </r>
    <r>
      <rPr>
        <sz val="10"/>
        <rFont val="Arial"/>
        <family val="2"/>
      </rPr>
      <t>).</t>
    </r>
  </si>
  <si>
    <r>
      <t>Molecular Weights</t>
    </r>
    <r>
      <rPr>
        <vertAlign val="superscript"/>
        <sz val="10"/>
        <rFont val="Arial"/>
        <family val="2"/>
      </rPr>
      <t>g</t>
    </r>
  </si>
  <si>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http://www.engineeringtoolbox.com/molecular-weight-gas-vapor-d_1156.html</t>
    </r>
  </si>
  <si>
    <t>Carbon Monoxide</t>
  </si>
  <si>
    <t>molecular weight for multiple gases:</t>
  </si>
  <si>
    <t xml:space="preserve">     a) for each gas, divide the individual gas flow by the total flow, then multiply by the molecular weight;</t>
  </si>
  <si>
    <t xml:space="preserve">     b) sum the results for each gas.  The result is the volume averaged molecular weight.</t>
  </si>
  <si>
    <r>
      <t>d</t>
    </r>
    <r>
      <rPr>
        <sz val="10"/>
        <rFont val="Arial"/>
        <family val="2"/>
      </rPr>
      <t xml:space="preserve"> See molecular weights table on "onegas" worksheet; to compute the volume averaged</t>
    </r>
  </si>
  <si>
    <t>based on the heat release rate.</t>
  </si>
  <si>
    <t>This spreadsheet is specifically designed to assist the modeler when having to model flares as modified point sources.  This is the</t>
  </si>
  <si>
    <t>approach required in AERMOD since the model does not (at present) allow the modeling of flare sources when in the regulatory default mode.</t>
  </si>
  <si>
    <t>NOTE 1:</t>
  </si>
  <si>
    <t>All parameters in the above equations are in mks units.  The calculation worksheets automatically convert input to these working units.</t>
  </si>
  <si>
    <t>NOTE 2:</t>
  </si>
  <si>
    <t>The equations presented herein are equivalent to those presented by Trinity Consultants.</t>
  </si>
  <si>
    <t xml:space="preserve">NOTE 1: </t>
  </si>
  <si>
    <t>The gas flow rate is converted to metric units (m3/sec), yielding an emission rate in g/sec.  This is subsequently converted to English units (lb/hr).</t>
  </si>
  <si>
    <t xml:space="preserve">NOTE 2: </t>
  </si>
  <si>
    <t>The gas flow and density should be expressed for the same standard temperature and pressure (STP) conditions.  Herein, it is 70°F (294°K) and 1 atm (101.325 kPascal).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</si>
</sst>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3999302387238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>
        <color indexed="22"/>
      </left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/>
      <top/>
      <bottom/>
    </border>
    <border>
      <left/>
      <right style="medium"/>
      <top/>
      <bottom style="medium"/>
    </border>
    <border>
      <left/>
      <right style="thin">
        <color indexed="22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64" fontId="0" fillId="33" borderId="12" xfId="0" applyNumberForma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Border="1" applyAlignment="1" applyProtection="1">
      <alignment/>
      <protection/>
    </xf>
    <xf numFmtId="2" fontId="14" fillId="0" borderId="0" xfId="0" applyNumberFormat="1" applyFont="1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2" fontId="12" fillId="0" borderId="15" xfId="0" applyNumberFormat="1" applyFont="1" applyBorder="1" applyAlignment="1" applyProtection="1">
      <alignment horizontal="right"/>
      <protection/>
    </xf>
    <xf numFmtId="2" fontId="12" fillId="0" borderId="15" xfId="0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 wrapText="1"/>
    </xf>
    <xf numFmtId="0" fontId="0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 horizontal="left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165" fontId="12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5" fontId="12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165" fontId="0" fillId="33" borderId="12" xfId="0" applyNumberForma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1" borderId="21" xfId="0" applyFill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49" fontId="0" fillId="0" borderId="22" xfId="0" applyNumberFormat="1" applyBorder="1" applyAlignment="1" applyProtection="1">
      <alignment vertical="center"/>
      <protection/>
    </xf>
    <xf numFmtId="49" fontId="0" fillId="0" borderId="23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/>
      <protection/>
    </xf>
    <xf numFmtId="1" fontId="5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1" borderId="26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2" fillId="0" borderId="18" xfId="0" applyFont="1" applyBorder="1" applyAlignment="1" applyProtection="1">
      <alignment horizontal="left"/>
      <protection/>
    </xf>
    <xf numFmtId="2" fontId="0" fillId="0" borderId="12" xfId="0" applyNumberFormat="1" applyFill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1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3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5"/>
  <sheetViews>
    <sheetView zoomScalePageLayoutView="0" workbookViewId="0" topLeftCell="A1">
      <selection activeCell="B24" sqref="B24"/>
    </sheetView>
  </sheetViews>
  <sheetFormatPr defaultColWidth="9.140625" defaultRowHeight="12.75"/>
  <sheetData>
    <row r="3" ht="12.75">
      <c r="B3" t="s">
        <v>147</v>
      </c>
    </row>
    <row r="5" ht="12.75">
      <c r="B5" t="s">
        <v>148</v>
      </c>
    </row>
    <row r="6" ht="12.75">
      <c r="B6" s="77"/>
    </row>
    <row r="7" ht="12.75">
      <c r="B7" s="77" t="s">
        <v>218</v>
      </c>
    </row>
    <row r="8" ht="12.75">
      <c r="D8" t="s">
        <v>219</v>
      </c>
    </row>
    <row r="9" ht="14.25">
      <c r="B9" s="77" t="s">
        <v>149</v>
      </c>
    </row>
    <row r="12" ht="12.75">
      <c r="B12" s="4" t="s">
        <v>152</v>
      </c>
    </row>
    <row r="13" ht="12.75">
      <c r="B13" s="77"/>
    </row>
    <row r="14" ht="12.75">
      <c r="B14" s="77" t="s">
        <v>150</v>
      </c>
    </row>
    <row r="15" ht="14.25">
      <c r="B15" s="77" t="s">
        <v>151</v>
      </c>
    </row>
    <row r="17" spans="2:12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9" ht="12.75">
      <c r="B19" t="s">
        <v>153</v>
      </c>
    </row>
    <row r="21" ht="12.75">
      <c r="B21" t="s">
        <v>215</v>
      </c>
    </row>
    <row r="22" ht="12.75">
      <c r="B22" t="s">
        <v>216</v>
      </c>
    </row>
    <row r="24" spans="6:7" ht="25.5">
      <c r="F24" s="80" t="s">
        <v>154</v>
      </c>
      <c r="G24" s="80" t="s">
        <v>155</v>
      </c>
    </row>
    <row r="25" spans="6:7" ht="28.5">
      <c r="F25" s="78" t="s">
        <v>156</v>
      </c>
      <c r="G25" s="78">
        <v>26.04</v>
      </c>
    </row>
    <row r="26" spans="6:7" ht="12.75">
      <c r="F26" s="78" t="s">
        <v>157</v>
      </c>
      <c r="G26" s="78">
        <v>28.966</v>
      </c>
    </row>
    <row r="27" spans="6:7" ht="12.75">
      <c r="F27" s="78" t="s">
        <v>158</v>
      </c>
      <c r="G27" s="78">
        <v>17.02</v>
      </c>
    </row>
    <row r="28" spans="6:7" ht="12.75">
      <c r="F28" s="78" t="s">
        <v>159</v>
      </c>
      <c r="G28" s="78">
        <v>39.948</v>
      </c>
    </row>
    <row r="29" spans="6:7" ht="12.75">
      <c r="F29" s="78" t="s">
        <v>160</v>
      </c>
      <c r="G29" s="78">
        <v>78.11</v>
      </c>
    </row>
    <row r="30" spans="6:7" ht="41.25">
      <c r="F30" s="78" t="s">
        <v>161</v>
      </c>
      <c r="G30" s="78">
        <v>58.12</v>
      </c>
    </row>
    <row r="31" spans="6:7" ht="51">
      <c r="F31" s="78" t="s">
        <v>162</v>
      </c>
      <c r="G31" s="78">
        <v>58.12</v>
      </c>
    </row>
    <row r="32" spans="6:7" ht="25.5">
      <c r="F32" s="78" t="s">
        <v>163</v>
      </c>
      <c r="G32" s="78">
        <v>54.09</v>
      </c>
    </row>
    <row r="33" spans="6:7" ht="12.75">
      <c r="F33" s="78" t="s">
        <v>164</v>
      </c>
      <c r="G33" s="78">
        <v>56.108</v>
      </c>
    </row>
    <row r="34" spans="6:7" ht="25.5">
      <c r="F34" s="78" t="s">
        <v>165</v>
      </c>
      <c r="G34" s="78">
        <v>56.108</v>
      </c>
    </row>
    <row r="35" spans="6:7" ht="25.5">
      <c r="F35" s="78" t="s">
        <v>166</v>
      </c>
      <c r="G35" s="78">
        <v>56.108</v>
      </c>
    </row>
    <row r="36" spans="6:7" ht="12.75">
      <c r="F36" s="78" t="s">
        <v>167</v>
      </c>
      <c r="G36" s="78">
        <v>56.108</v>
      </c>
    </row>
    <row r="37" spans="6:7" ht="41.25">
      <c r="F37" s="78" t="s">
        <v>168</v>
      </c>
      <c r="G37" s="78">
        <v>44.01</v>
      </c>
    </row>
    <row r="38" spans="6:7" ht="38.25">
      <c r="F38" s="78" t="s">
        <v>169</v>
      </c>
      <c r="G38" s="78">
        <v>76.13</v>
      </c>
    </row>
    <row r="39" spans="6:7" ht="38.25">
      <c r="F39" s="78" t="s">
        <v>170</v>
      </c>
      <c r="G39" s="78">
        <v>28.011</v>
      </c>
    </row>
    <row r="40" spans="6:7" ht="12.75">
      <c r="F40" s="78" t="s">
        <v>171</v>
      </c>
      <c r="G40" s="78">
        <v>70.906</v>
      </c>
    </row>
    <row r="41" spans="6:7" ht="25.5">
      <c r="F41" s="78" t="s">
        <v>172</v>
      </c>
      <c r="G41" s="78">
        <v>84.16</v>
      </c>
    </row>
    <row r="42" spans="6:7" ht="25.5">
      <c r="F42" s="78" t="s">
        <v>173</v>
      </c>
      <c r="G42" s="78">
        <v>2.014</v>
      </c>
    </row>
    <row r="43" spans="6:7" ht="28.5">
      <c r="F43" s="78" t="s">
        <v>174</v>
      </c>
      <c r="G43" s="78">
        <v>30.07</v>
      </c>
    </row>
    <row r="44" spans="6:7" ht="38.25">
      <c r="F44" s="78" t="s">
        <v>217</v>
      </c>
      <c r="G44" s="78">
        <v>46.07</v>
      </c>
    </row>
    <row r="45" spans="6:7" ht="25.5">
      <c r="F45" s="78" t="s">
        <v>175</v>
      </c>
      <c r="G45" s="78">
        <v>64.515</v>
      </c>
    </row>
    <row r="46" spans="6:7" ht="28.5">
      <c r="F46" s="78" t="s">
        <v>176</v>
      </c>
      <c r="G46" s="78">
        <v>28.054</v>
      </c>
    </row>
    <row r="47" spans="6:7" ht="12.75">
      <c r="F47" s="78" t="s">
        <v>177</v>
      </c>
      <c r="G47" s="78">
        <v>37.996</v>
      </c>
    </row>
    <row r="48" spans="6:7" ht="25.5">
      <c r="F48" s="78" t="s">
        <v>178</v>
      </c>
      <c r="G48" s="78">
        <v>4.02</v>
      </c>
    </row>
    <row r="49" spans="6:7" ht="25.5">
      <c r="F49" s="78" t="s">
        <v>179</v>
      </c>
      <c r="G49" s="78">
        <v>100.2</v>
      </c>
    </row>
    <row r="50" spans="6:7" ht="12.75">
      <c r="F50" s="78" t="s">
        <v>180</v>
      </c>
      <c r="G50" s="78">
        <v>86.17</v>
      </c>
    </row>
    <row r="51" spans="6:7" ht="25.5">
      <c r="F51" s="78" t="s">
        <v>181</v>
      </c>
      <c r="G51" s="78">
        <v>36.47</v>
      </c>
    </row>
    <row r="52" spans="6:7" ht="28.5">
      <c r="F52" s="78" t="s">
        <v>182</v>
      </c>
      <c r="G52" s="78">
        <v>2.016</v>
      </c>
    </row>
    <row r="53" spans="6:7" ht="25.5">
      <c r="F53" s="78" t="s">
        <v>183</v>
      </c>
      <c r="G53" s="78">
        <v>36.461</v>
      </c>
    </row>
    <row r="54" spans="6:7" ht="25.5">
      <c r="F54" s="78" t="s">
        <v>184</v>
      </c>
      <c r="G54" s="78">
        <v>34.076</v>
      </c>
    </row>
    <row r="55" spans="6:7" ht="25.5">
      <c r="F55" s="78" t="s">
        <v>185</v>
      </c>
      <c r="G55" s="78">
        <v>17.01</v>
      </c>
    </row>
    <row r="56" spans="6:7" ht="12.75">
      <c r="F56" s="78" t="s">
        <v>186</v>
      </c>
      <c r="G56" s="78">
        <v>83.8</v>
      </c>
    </row>
    <row r="57" spans="6:7" ht="28.5">
      <c r="F57" s="78" t="s">
        <v>187</v>
      </c>
      <c r="G57" s="78">
        <v>16.044</v>
      </c>
    </row>
    <row r="58" spans="6:7" ht="25.5">
      <c r="F58" s="78" t="s">
        <v>188</v>
      </c>
      <c r="G58" s="78">
        <v>32.04</v>
      </c>
    </row>
    <row r="59" spans="6:7" ht="25.5">
      <c r="F59" s="78" t="s">
        <v>189</v>
      </c>
      <c r="G59" s="78">
        <v>72.15</v>
      </c>
    </row>
    <row r="60" spans="6:7" ht="25.5">
      <c r="F60" s="78" t="s">
        <v>190</v>
      </c>
      <c r="G60" s="78">
        <v>50.488</v>
      </c>
    </row>
    <row r="61" spans="6:7" ht="25.5">
      <c r="F61" s="78" t="s">
        <v>83</v>
      </c>
      <c r="G61" s="78">
        <v>19</v>
      </c>
    </row>
    <row r="62" spans="6:7" ht="12.75">
      <c r="F62" s="78" t="s">
        <v>191</v>
      </c>
      <c r="G62" s="78">
        <v>20.179</v>
      </c>
    </row>
    <row r="63" spans="6:7" ht="41.25">
      <c r="F63" s="78" t="s">
        <v>192</v>
      </c>
      <c r="G63" s="78">
        <v>30.006</v>
      </c>
    </row>
    <row r="64" spans="6:7" ht="28.5">
      <c r="F64" s="78" t="s">
        <v>193</v>
      </c>
      <c r="G64" s="78">
        <v>28.0134</v>
      </c>
    </row>
    <row r="65" spans="6:7" ht="25.5">
      <c r="F65" s="78" t="s">
        <v>194</v>
      </c>
      <c r="G65" s="78">
        <v>44.012</v>
      </c>
    </row>
    <row r="66" spans="6:7" ht="12.75">
      <c r="F66" s="78" t="s">
        <v>195</v>
      </c>
      <c r="G66" s="78">
        <v>114.22</v>
      </c>
    </row>
    <row r="67" spans="6:7" ht="28.5">
      <c r="F67" s="78" t="s">
        <v>196</v>
      </c>
      <c r="G67" s="78">
        <v>31.9988</v>
      </c>
    </row>
    <row r="68" spans="6:7" ht="12.75">
      <c r="F68" s="78" t="s">
        <v>197</v>
      </c>
      <c r="G68" s="78">
        <v>47.998</v>
      </c>
    </row>
    <row r="69" spans="6:7" ht="25.5">
      <c r="F69" s="78" t="s">
        <v>198</v>
      </c>
      <c r="G69" s="78">
        <v>72.15</v>
      </c>
    </row>
    <row r="70" spans="6:7" ht="25.5">
      <c r="F70" s="78" t="s">
        <v>199</v>
      </c>
      <c r="G70" s="78">
        <v>72.15</v>
      </c>
    </row>
    <row r="71" spans="6:7" ht="28.5">
      <c r="F71" s="78" t="s">
        <v>200</v>
      </c>
      <c r="G71" s="78">
        <v>44.097</v>
      </c>
    </row>
    <row r="72" spans="6:7" ht="25.5">
      <c r="F72" s="78" t="s">
        <v>201</v>
      </c>
      <c r="G72" s="78">
        <v>42.08</v>
      </c>
    </row>
    <row r="73" spans="6:7" ht="12.75">
      <c r="F73" s="78" t="s">
        <v>202</v>
      </c>
      <c r="G73" s="78">
        <v>137.37</v>
      </c>
    </row>
    <row r="74" spans="6:7" ht="12.75">
      <c r="F74" s="78" t="s">
        <v>203</v>
      </c>
      <c r="G74" s="78">
        <v>120.92</v>
      </c>
    </row>
    <row r="75" spans="6:7" ht="12.75">
      <c r="F75" s="78" t="s">
        <v>204</v>
      </c>
      <c r="G75" s="78">
        <v>86.48</v>
      </c>
    </row>
    <row r="76" spans="6:7" ht="12.75">
      <c r="F76" s="78" t="s">
        <v>205</v>
      </c>
      <c r="G76" s="78">
        <v>170.93</v>
      </c>
    </row>
    <row r="77" spans="6:7" ht="12.75">
      <c r="F77" s="78" t="s">
        <v>206</v>
      </c>
      <c r="G77" s="78">
        <v>152.93</v>
      </c>
    </row>
    <row r="78" spans="6:7" ht="12.75">
      <c r="F78" s="78" t="s">
        <v>207</v>
      </c>
      <c r="G78" s="78">
        <v>102.03</v>
      </c>
    </row>
    <row r="79" spans="6:7" ht="12.75">
      <c r="F79" s="78" t="s">
        <v>208</v>
      </c>
      <c r="G79" s="78">
        <v>60.05</v>
      </c>
    </row>
    <row r="80" spans="6:7" ht="12.75">
      <c r="F80" s="78" t="s">
        <v>209</v>
      </c>
      <c r="G80" s="78">
        <v>32.02</v>
      </c>
    </row>
    <row r="81" spans="6:7" ht="25.5">
      <c r="F81" s="78" t="s">
        <v>210</v>
      </c>
      <c r="G81" s="78">
        <v>64.06</v>
      </c>
    </row>
    <row r="82" spans="6:7" ht="25.5">
      <c r="F82" s="78" t="s">
        <v>211</v>
      </c>
      <c r="G82" s="78">
        <v>48.1</v>
      </c>
    </row>
    <row r="83" spans="6:7" ht="12.75">
      <c r="F83" s="78" t="s">
        <v>212</v>
      </c>
      <c r="G83" s="78">
        <v>92.13</v>
      </c>
    </row>
    <row r="84" spans="6:7" ht="12.75">
      <c r="F84" s="78" t="s">
        <v>213</v>
      </c>
      <c r="G84" s="78">
        <v>131.3</v>
      </c>
    </row>
    <row r="85" spans="6:7" ht="41.25">
      <c r="F85" s="78" t="s">
        <v>214</v>
      </c>
      <c r="G85" s="78">
        <v>18.02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4:9" ht="18.75" thickBot="1">
      <c r="D1" s="159" t="s">
        <v>141</v>
      </c>
      <c r="E1" s="160"/>
      <c r="F1" s="160"/>
      <c r="G1" s="160"/>
      <c r="H1" s="160"/>
      <c r="I1" s="161"/>
    </row>
    <row r="3" ht="12.75">
      <c r="A3" t="s">
        <v>1</v>
      </c>
    </row>
    <row r="4" ht="12.75">
      <c r="A4" t="s">
        <v>272</v>
      </c>
    </row>
    <row r="5" ht="12.75">
      <c r="A5" t="s">
        <v>273</v>
      </c>
    </row>
    <row r="6" ht="12.75">
      <c r="A6" t="s">
        <v>274</v>
      </c>
    </row>
    <row r="7" ht="12.75">
      <c r="A7" s="6"/>
    </row>
    <row r="8" ht="12.75">
      <c r="A8" t="s">
        <v>99</v>
      </c>
    </row>
    <row r="9" ht="12.75">
      <c r="A9" t="s">
        <v>98</v>
      </c>
    </row>
    <row r="10" ht="12.75">
      <c r="A10" t="s">
        <v>139</v>
      </c>
    </row>
    <row r="12" ht="12.75">
      <c r="A12" t="s">
        <v>0</v>
      </c>
    </row>
  </sheetData>
  <sheetProtection sheet="1"/>
  <mergeCells count="1">
    <mergeCell ref="D1:I1"/>
  </mergeCells>
  <printOptions/>
  <pageMargins left="0.75" right="0.75" top="1" bottom="1" header="0.5" footer="0.5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14.140625" style="14" customWidth="1"/>
    <col min="2" max="2" width="16.7109375" style="14" customWidth="1"/>
    <col min="3" max="3" width="13.00390625" style="14" customWidth="1"/>
    <col min="4" max="4" width="7.28125" style="14" customWidth="1"/>
    <col min="5" max="5" width="13.00390625" style="14" customWidth="1"/>
    <col min="6" max="6" width="7.28125" style="14" customWidth="1"/>
    <col min="7" max="7" width="13.00390625" style="14" customWidth="1"/>
    <col min="8" max="8" width="7.28125" style="14" customWidth="1"/>
    <col min="9" max="9" width="13.00390625" style="14" customWidth="1"/>
    <col min="10" max="10" width="7.28125" style="14" customWidth="1"/>
    <col min="11" max="11" width="15.00390625" style="14" customWidth="1"/>
    <col min="12" max="12" width="12.8515625" style="14" customWidth="1"/>
    <col min="13" max="15" width="8.8515625" style="14" customWidth="1"/>
    <col min="16" max="16" width="20.421875" style="14" customWidth="1"/>
    <col min="17" max="17" width="11.8515625" style="14" customWidth="1"/>
    <col min="18" max="19" width="8.8515625" style="14" customWidth="1"/>
    <col min="20" max="20" width="23.28125" style="14" customWidth="1"/>
    <col min="21" max="21" width="9.28125" style="14" customWidth="1"/>
    <col min="22" max="16384" width="8.8515625" style="14" customWidth="1"/>
  </cols>
  <sheetData>
    <row r="1" spans="1:11" ht="18.75" thickBot="1">
      <c r="A1" s="81" t="s">
        <v>10</v>
      </c>
      <c r="B1" s="8"/>
      <c r="D1" s="165" t="s">
        <v>145</v>
      </c>
      <c r="E1" s="163"/>
      <c r="F1" s="163"/>
      <c r="G1" s="163"/>
      <c r="H1" s="163"/>
      <c r="I1" s="163"/>
      <c r="J1" s="163"/>
      <c r="K1" s="134"/>
    </row>
    <row r="2" spans="1:11" ht="12.75">
      <c r="A2" s="15" t="s">
        <v>11</v>
      </c>
      <c r="B2" s="82"/>
      <c r="D2" s="166" t="s">
        <v>76</v>
      </c>
      <c r="E2" s="167"/>
      <c r="F2" s="167"/>
      <c r="G2" s="167"/>
      <c r="H2" s="167"/>
      <c r="I2" s="167"/>
      <c r="J2" s="167"/>
      <c r="K2" s="19"/>
    </row>
    <row r="3" spans="1:7" ht="12.75" customHeight="1">
      <c r="A3" s="16"/>
      <c r="B3" s="16"/>
      <c r="D3" s="16"/>
      <c r="E3" s="16"/>
      <c r="F3" s="16"/>
      <c r="G3" s="16"/>
    </row>
    <row r="4" spans="1:7" ht="12.75">
      <c r="A4" s="83" t="s">
        <v>2</v>
      </c>
      <c r="B4" s="74" t="s">
        <v>260</v>
      </c>
      <c r="D4" s="16"/>
      <c r="E4" s="16"/>
      <c r="F4" s="16"/>
      <c r="G4" s="16"/>
    </row>
    <row r="5" spans="2:14" ht="12.75">
      <c r="B5" s="74" t="s">
        <v>259</v>
      </c>
      <c r="D5" s="132" t="s">
        <v>96</v>
      </c>
      <c r="E5" s="131" t="s">
        <v>263</v>
      </c>
      <c r="F5" s="130"/>
      <c r="L5" s="16"/>
      <c r="M5" s="16"/>
      <c r="N5" s="16"/>
    </row>
    <row r="6" spans="4:14" ht="12.75">
      <c r="D6" s="16"/>
      <c r="E6" s="16"/>
      <c r="F6" s="16"/>
      <c r="G6" s="16"/>
      <c r="K6" s="16"/>
      <c r="L6" s="16"/>
      <c r="M6" s="16"/>
      <c r="N6" s="16"/>
    </row>
    <row r="7" spans="3:14" ht="13.5">
      <c r="C7" s="118" t="s">
        <v>146</v>
      </c>
      <c r="D7" s="23"/>
      <c r="E7" s="118" t="s">
        <v>239</v>
      </c>
      <c r="F7" s="23"/>
      <c r="G7" s="118" t="s">
        <v>146</v>
      </c>
      <c r="H7" s="133"/>
      <c r="I7" s="118" t="s">
        <v>239</v>
      </c>
      <c r="K7" s="58"/>
      <c r="L7" s="16"/>
      <c r="M7" s="16"/>
      <c r="N7" s="16"/>
    </row>
    <row r="8" spans="3:18" ht="12" customHeight="1" thickBot="1">
      <c r="C8" s="118" t="s">
        <v>248</v>
      </c>
      <c r="D8" s="19"/>
      <c r="E8" s="118" t="s">
        <v>248</v>
      </c>
      <c r="F8" s="19"/>
      <c r="G8" s="118" t="s">
        <v>220</v>
      </c>
      <c r="H8" s="133"/>
      <c r="I8" s="119" t="s">
        <v>220</v>
      </c>
      <c r="J8" s="20"/>
      <c r="K8" s="84" t="s">
        <v>97</v>
      </c>
      <c r="L8" s="85"/>
      <c r="M8" s="76"/>
      <c r="N8" s="61"/>
      <c r="O8" s="61"/>
      <c r="P8" s="162" t="s">
        <v>265</v>
      </c>
      <c r="Q8" s="163"/>
      <c r="R8" s="34"/>
    </row>
    <row r="9" spans="2:17" ht="12" customHeight="1">
      <c r="B9" s="21" t="s">
        <v>74</v>
      </c>
      <c r="C9" s="9"/>
      <c r="E9" s="9"/>
      <c r="G9" s="9"/>
      <c r="I9" s="9"/>
      <c r="J9" s="86"/>
      <c r="K9" s="87" t="s">
        <v>13</v>
      </c>
      <c r="L9" s="88" t="s">
        <v>14</v>
      </c>
      <c r="M9" s="120" t="s">
        <v>221</v>
      </c>
      <c r="N9" s="61"/>
      <c r="P9" s="93"/>
      <c r="Q9" s="94"/>
    </row>
    <row r="10" spans="2:21" ht="12" customHeight="1">
      <c r="B10" s="21" t="s">
        <v>127</v>
      </c>
      <c r="C10" s="9"/>
      <c r="E10" s="9"/>
      <c r="G10" s="9"/>
      <c r="I10" s="9"/>
      <c r="J10" s="86"/>
      <c r="K10" s="75" t="s">
        <v>123</v>
      </c>
      <c r="L10" s="61" t="s">
        <v>122</v>
      </c>
      <c r="M10" s="89" t="s">
        <v>222</v>
      </c>
      <c r="N10" s="61"/>
      <c r="O10" s="61"/>
      <c r="P10" s="93" t="s">
        <v>158</v>
      </c>
      <c r="Q10" s="143">
        <v>17.02</v>
      </c>
      <c r="T10" s="135"/>
      <c r="U10" s="135"/>
    </row>
    <row r="11" spans="1:17" ht="12" customHeight="1">
      <c r="A11" s="65"/>
      <c r="B11" s="21" t="s">
        <v>136</v>
      </c>
      <c r="C11" s="68">
        <v>70</v>
      </c>
      <c r="D11" s="65"/>
      <c r="E11" s="68">
        <v>70</v>
      </c>
      <c r="F11" s="65"/>
      <c r="G11" s="68">
        <v>70</v>
      </c>
      <c r="H11" s="65"/>
      <c r="I11" s="68">
        <v>70</v>
      </c>
      <c r="J11" s="90"/>
      <c r="K11" s="66" t="s">
        <v>17</v>
      </c>
      <c r="L11" s="61" t="s">
        <v>18</v>
      </c>
      <c r="M11" s="67">
        <v>359</v>
      </c>
      <c r="N11" s="61"/>
      <c r="O11" s="61"/>
      <c r="P11" s="93" t="s">
        <v>229</v>
      </c>
      <c r="Q11" s="143">
        <v>58.12</v>
      </c>
    </row>
    <row r="12" spans="2:17" ht="12" customHeight="1">
      <c r="B12" s="151" t="s">
        <v>34</v>
      </c>
      <c r="C12" s="91">
        <f>IF(C11="","",(C11+459.67)/1.8)</f>
        <v>294.2611111111111</v>
      </c>
      <c r="E12" s="91">
        <f>IF(E11="","",(E11+459.67)/1.8)</f>
        <v>294.2611111111111</v>
      </c>
      <c r="G12" s="91">
        <f>IF(G11="","",(G11+459.67)/1.8)</f>
        <v>294.2611111111111</v>
      </c>
      <c r="I12" s="91">
        <f>IF(I11="","",(I11+459.67)/1.8)</f>
        <v>294.2611111111111</v>
      </c>
      <c r="K12" s="66" t="s">
        <v>16</v>
      </c>
      <c r="L12" s="61" t="s">
        <v>15</v>
      </c>
      <c r="M12" s="89" t="s">
        <v>224</v>
      </c>
      <c r="N12" s="61"/>
      <c r="O12" s="61"/>
      <c r="P12" s="93" t="s">
        <v>225</v>
      </c>
      <c r="Q12" s="143">
        <v>16.044</v>
      </c>
    </row>
    <row r="13" spans="2:17" ht="12" customHeight="1">
      <c r="B13" s="21" t="s">
        <v>130</v>
      </c>
      <c r="C13" s="10">
        <v>1832</v>
      </c>
      <c r="D13" s="28" t="s">
        <v>71</v>
      </c>
      <c r="E13" s="10">
        <v>1832</v>
      </c>
      <c r="F13" s="28" t="s">
        <v>71</v>
      </c>
      <c r="G13" s="10">
        <v>1832</v>
      </c>
      <c r="H13" s="28" t="s">
        <v>71</v>
      </c>
      <c r="I13" s="10">
        <v>1832</v>
      </c>
      <c r="J13" s="28" t="s">
        <v>71</v>
      </c>
      <c r="K13" s="75" t="s">
        <v>22</v>
      </c>
      <c r="L13" s="61"/>
      <c r="M13" s="67" t="s">
        <v>124</v>
      </c>
      <c r="N13" s="61"/>
      <c r="O13" s="61"/>
      <c r="P13" s="93" t="s">
        <v>226</v>
      </c>
      <c r="Q13" s="143">
        <v>44.097</v>
      </c>
    </row>
    <row r="14" spans="1:17" ht="12" customHeight="1">
      <c r="A14" s="29"/>
      <c r="B14" s="151" t="s">
        <v>6</v>
      </c>
      <c r="C14" s="91">
        <f>IF(C13="","",(C13+459.67)/1.8)</f>
        <v>1273.15</v>
      </c>
      <c r="D14" s="29"/>
      <c r="E14" s="91">
        <f>IF(E13="","",(E13+459.67)/1.8)</f>
        <v>1273.15</v>
      </c>
      <c r="F14" s="29"/>
      <c r="G14" s="91">
        <f>IF(G13="","",(G13+459.67)/1.8)</f>
        <v>1273.15</v>
      </c>
      <c r="H14" s="29"/>
      <c r="I14" s="91">
        <f>IF(I13="","",(I13+459.67)/1.8)</f>
        <v>1273.15</v>
      </c>
      <c r="J14" s="30"/>
      <c r="K14" s="75" t="s">
        <v>68</v>
      </c>
      <c r="L14" s="61"/>
      <c r="M14" s="61" t="s">
        <v>125</v>
      </c>
      <c r="N14" s="61"/>
      <c r="O14" s="61"/>
      <c r="P14" s="145" t="s">
        <v>201</v>
      </c>
      <c r="Q14" s="143">
        <v>42.08</v>
      </c>
    </row>
    <row r="15" spans="2:17" ht="12.75">
      <c r="B15" s="21" t="s">
        <v>8</v>
      </c>
      <c r="C15" s="10">
        <v>27830</v>
      </c>
      <c r="D15" s="28" t="s">
        <v>71</v>
      </c>
      <c r="E15" s="123">
        <f>E27^2*E29/0.02122</f>
        <v>27829.933133947325</v>
      </c>
      <c r="F15" s="28" t="s">
        <v>71</v>
      </c>
      <c r="G15" s="10">
        <v>27830</v>
      </c>
      <c r="H15" s="28" t="s">
        <v>71</v>
      </c>
      <c r="I15" s="123">
        <f>I27^2*I29/0.02122</f>
        <v>27829.933133947325</v>
      </c>
      <c r="J15" s="28" t="s">
        <v>71</v>
      </c>
      <c r="K15" s="75" t="s">
        <v>72</v>
      </c>
      <c r="L15" s="61" t="s">
        <v>73</v>
      </c>
      <c r="M15" s="92">
        <v>650</v>
      </c>
      <c r="N15" s="129" t="s">
        <v>240</v>
      </c>
      <c r="O15" s="61"/>
      <c r="P15" s="93" t="s">
        <v>227</v>
      </c>
      <c r="Q15" s="143">
        <v>30.07</v>
      </c>
    </row>
    <row r="16" spans="2:17" ht="12.75">
      <c r="B16" s="151" t="s">
        <v>107</v>
      </c>
      <c r="C16" s="91">
        <f>IF(OR(C13="",C15=""),"",C15*(528/(460+C13)))</f>
        <v>6411.09947643979</v>
      </c>
      <c r="E16" s="91">
        <f>IF(OR(E13="",E15=""),"",E15*(528/(460+E13)))</f>
        <v>6411.084072741792</v>
      </c>
      <c r="G16" s="91">
        <f>IF(OR(G13="",G15=""),"",G15*(528/(460+G13)))</f>
        <v>6411.09947643979</v>
      </c>
      <c r="I16" s="91">
        <f>IF(OR(I13="",I15=""),"",I15*(528/(460+I13)))</f>
        <v>6411.084072741792</v>
      </c>
      <c r="J16" s="95"/>
      <c r="K16" s="75"/>
      <c r="L16" s="61"/>
      <c r="M16" s="61"/>
      <c r="N16" s="61"/>
      <c r="O16" s="61"/>
      <c r="P16" s="136" t="s">
        <v>223</v>
      </c>
      <c r="Q16" s="143">
        <v>46.07</v>
      </c>
    </row>
    <row r="17" spans="2:17" ht="12.75" customHeight="1">
      <c r="B17" s="21" t="s">
        <v>12</v>
      </c>
      <c r="C17" s="96">
        <v>32.24</v>
      </c>
      <c r="D17" s="44"/>
      <c r="E17" s="96"/>
      <c r="F17" s="44"/>
      <c r="G17" s="96">
        <v>32.24</v>
      </c>
      <c r="H17" s="44"/>
      <c r="I17" s="96"/>
      <c r="J17" s="97"/>
      <c r="O17" s="61"/>
      <c r="P17" s="93" t="s">
        <v>230</v>
      </c>
      <c r="Q17" s="143">
        <v>28.054</v>
      </c>
    </row>
    <row r="18" spans="2:17" ht="12.75" customHeight="1" thickBot="1">
      <c r="B18" s="152" t="s">
        <v>228</v>
      </c>
      <c r="C18" s="98" t="s">
        <v>228</v>
      </c>
      <c r="D18" s="44"/>
      <c r="E18" s="98" t="s">
        <v>228</v>
      </c>
      <c r="F18" s="44"/>
      <c r="G18" s="98" t="s">
        <v>228</v>
      </c>
      <c r="H18" s="44"/>
      <c r="I18" s="98" t="s">
        <v>228</v>
      </c>
      <c r="J18" s="99"/>
      <c r="K18" s="100" t="s">
        <v>19</v>
      </c>
      <c r="L18" s="76"/>
      <c r="M18" s="76"/>
      <c r="N18" s="61"/>
      <c r="O18" s="61"/>
      <c r="P18" s="93" t="s">
        <v>177</v>
      </c>
      <c r="Q18" s="143">
        <v>37.996</v>
      </c>
    </row>
    <row r="19" spans="2:17" ht="25.5">
      <c r="B19" s="153" t="s">
        <v>3</v>
      </c>
      <c r="C19" s="101"/>
      <c r="E19" s="101">
        <v>12400000</v>
      </c>
      <c r="G19" s="101"/>
      <c r="I19" s="101">
        <v>12400000</v>
      </c>
      <c r="J19" s="137"/>
      <c r="K19" s="102" t="s">
        <v>13</v>
      </c>
      <c r="L19" s="103"/>
      <c r="M19" s="88" t="s">
        <v>20</v>
      </c>
      <c r="N19" s="61"/>
      <c r="O19" s="61"/>
      <c r="P19" s="140" t="s">
        <v>262</v>
      </c>
      <c r="Q19" s="144" t="s">
        <v>238</v>
      </c>
    </row>
    <row r="20" spans="2:17" ht="12.75">
      <c r="B20" s="151" t="s">
        <v>133</v>
      </c>
      <c r="C20" s="33">
        <f>IF(AND(C16="",C17="",C19=""),"",IF(C17="",C19*252/3600,IF(C19="",C17*C16*60*252/3600,"")))</f>
        <v>868114.1579057593</v>
      </c>
      <c r="E20" s="33">
        <f>IF(AND(E16="",E17="",E19=""),"",IF(E17="",E19*252/3600,IF(E19="",E17*E16*60*252/3600,"")))</f>
        <v>868000</v>
      </c>
      <c r="G20" s="33">
        <f>IF(AND(G16="",G17="",G19=""),"",IF(G17="",G19*252/3600,IF(G19="",G17*G16*60*252/3600,"")))</f>
        <v>868114.1579057593</v>
      </c>
      <c r="I20" s="33">
        <f>IF(AND(I16="",I17="",I19=""),"",IF(I17="",I19*252/3600,IF(I19="",I17*I16*60*252/3600,"")))</f>
        <v>868000</v>
      </c>
      <c r="J20" s="95"/>
      <c r="K20" s="75" t="s">
        <v>21</v>
      </c>
      <c r="L20" s="61"/>
      <c r="M20" s="67">
        <v>23</v>
      </c>
      <c r="N20" s="61"/>
      <c r="O20" s="61"/>
      <c r="P20" s="93" t="s">
        <v>82</v>
      </c>
      <c r="Q20" s="143">
        <v>2.016</v>
      </c>
    </row>
    <row r="21" spans="2:17" ht="12" customHeight="1">
      <c r="B21" s="21" t="s">
        <v>137</v>
      </c>
      <c r="C21" s="10">
        <v>55</v>
      </c>
      <c r="E21" s="10">
        <v>55</v>
      </c>
      <c r="G21" s="104"/>
      <c r="I21" s="104"/>
      <c r="J21" s="36"/>
      <c r="K21" s="75" t="s">
        <v>16</v>
      </c>
      <c r="L21" s="61"/>
      <c r="M21" s="67" t="s">
        <v>29</v>
      </c>
      <c r="N21" s="61"/>
      <c r="O21" s="61"/>
      <c r="P21" s="93" t="s">
        <v>83</v>
      </c>
      <c r="Q21" s="143">
        <v>19</v>
      </c>
    </row>
    <row r="22" spans="2:17" ht="12.75">
      <c r="B22" s="151" t="s">
        <v>9</v>
      </c>
      <c r="C22" s="105">
        <f>IF(OR(AND(C17="",C19=""),C21=""),"",IF(C17="",(1-(C21/100))*C19,(1-(C21/100))*C17*C16*60))</f>
        <v>5580733.8722513085</v>
      </c>
      <c r="E22" s="105">
        <f>IF(OR(AND(E17="",E19=""),E21=""),"",IF(E17="",(1-(E21/100))*E19,(1-(E21/100))*E17*E16*60))</f>
        <v>5579999.999999999</v>
      </c>
      <c r="G22" s="106">
        <f>IF(G23="","",(G23/252)*3600)</f>
        <v>6691922.149302596</v>
      </c>
      <c r="I22" s="106">
        <f>IF(I23="","",(I23/252)*3600)</f>
        <v>6691042.154648539</v>
      </c>
      <c r="J22" s="31"/>
      <c r="K22" s="75" t="s">
        <v>22</v>
      </c>
      <c r="L22" s="61"/>
      <c r="M22" s="67">
        <v>33</v>
      </c>
      <c r="N22" s="61"/>
      <c r="O22" s="61"/>
      <c r="P22" s="93" t="s">
        <v>267</v>
      </c>
      <c r="Q22" s="143">
        <v>28.011</v>
      </c>
    </row>
    <row r="23" spans="2:17" ht="12.75">
      <c r="B23" s="151" t="s">
        <v>134</v>
      </c>
      <c r="C23" s="33">
        <f>IF(C22="","",C22*252/3600)</f>
        <v>390651.3710575916</v>
      </c>
      <c r="E23" s="33">
        <f>IF(E22="","",E22*252/3600)</f>
        <v>390599.99999999994</v>
      </c>
      <c r="G23" s="107">
        <f>IF(OR(G20="",G31=""),"",G20*(1-(0.048*SQRT(G31))))</f>
        <v>468434.5504511817</v>
      </c>
      <c r="I23" s="107">
        <f>IF(OR(I20="",I31=""),"",I20*(1-(0.048*SQRT(I31))))</f>
        <v>468372.9508253977</v>
      </c>
      <c r="J23" s="36"/>
      <c r="K23" s="75" t="s">
        <v>23</v>
      </c>
      <c r="L23" s="61"/>
      <c r="M23" s="67">
        <v>30</v>
      </c>
      <c r="N23" s="61"/>
      <c r="O23" s="61"/>
      <c r="P23" s="93" t="s">
        <v>184</v>
      </c>
      <c r="Q23" s="143">
        <v>34.076</v>
      </c>
    </row>
    <row r="24" spans="2:15" ht="12.75">
      <c r="B24" s="151" t="s">
        <v>4</v>
      </c>
      <c r="C24" s="105">
        <f>IF(C22="","",0.293*C22)</f>
        <v>1635155.0245696334</v>
      </c>
      <c r="E24" s="105">
        <f>IF(E22="","",0.293*E22)</f>
        <v>1634939.9999999995</v>
      </c>
      <c r="G24" s="108">
        <f>IF(G23="","",G23*(1055/252))</f>
        <v>1961104.9631983996</v>
      </c>
      <c r="I24" s="108">
        <f>IF(I23="","",I23*(1055/252))</f>
        <v>1960847.075876169</v>
      </c>
      <c r="J24" s="109"/>
      <c r="K24" s="75" t="s">
        <v>24</v>
      </c>
      <c r="L24" s="61"/>
      <c r="M24" s="67">
        <v>38</v>
      </c>
      <c r="N24" s="61"/>
      <c r="O24" s="61"/>
    </row>
    <row r="25" spans="2:15" ht="12.75">
      <c r="B25" s="21" t="s">
        <v>128</v>
      </c>
      <c r="C25" s="11">
        <v>20</v>
      </c>
      <c r="E25" s="11">
        <v>20</v>
      </c>
      <c r="G25" s="11">
        <v>20</v>
      </c>
      <c r="I25" s="11">
        <v>20</v>
      </c>
      <c r="J25" s="38"/>
      <c r="K25" s="75" t="s">
        <v>25</v>
      </c>
      <c r="L25" s="61"/>
      <c r="M25" s="67">
        <v>17</v>
      </c>
      <c r="N25" s="61"/>
      <c r="O25" s="61"/>
    </row>
    <row r="26" spans="2:15" ht="12.75">
      <c r="B26" s="39" t="s">
        <v>5</v>
      </c>
      <c r="C26" s="40">
        <f>IF(OR(C25="",C24=""),"",C25+((0.00754)*((C24)^0.478)))</f>
        <v>27.0380527242726</v>
      </c>
      <c r="D26" s="28" t="s">
        <v>231</v>
      </c>
      <c r="E26" s="40">
        <f>IF(OR(E25="",E24=""),"",E25+((0.00754)*((E24)^0.478)))</f>
        <v>27.03761031474326</v>
      </c>
      <c r="F26" s="28" t="s">
        <v>231</v>
      </c>
      <c r="G26" s="40">
        <f>IF(OR(G25="",G24=""),"",G25+((0.00754)*((G24)^0.478)))</f>
        <v>27.676915260948817</v>
      </c>
      <c r="H26" s="28" t="s">
        <v>231</v>
      </c>
      <c r="I26" s="40">
        <f>IF(OR(I25="",I24=""),"",I25+((0.00754)*((I24)^0.478)))</f>
        <v>27.67643269274417</v>
      </c>
      <c r="J26" s="28" t="s">
        <v>231</v>
      </c>
      <c r="K26" s="75" t="s">
        <v>28</v>
      </c>
      <c r="L26" s="61"/>
      <c r="M26" s="67">
        <v>30</v>
      </c>
      <c r="N26" s="61"/>
      <c r="O26" s="61"/>
    </row>
    <row r="27" spans="2:17" ht="12.75">
      <c r="B27" s="21" t="s">
        <v>135</v>
      </c>
      <c r="C27" s="13">
        <v>3</v>
      </c>
      <c r="E27" s="13">
        <v>3</v>
      </c>
      <c r="G27" s="13">
        <v>3</v>
      </c>
      <c r="I27" s="13">
        <v>3</v>
      </c>
      <c r="J27" s="110"/>
      <c r="K27" s="75" t="s">
        <v>26</v>
      </c>
      <c r="L27" s="61"/>
      <c r="M27" s="67">
        <v>25</v>
      </c>
      <c r="N27" s="61"/>
      <c r="O27" s="61"/>
      <c r="P27" s="93"/>
      <c r="Q27" s="94"/>
    </row>
    <row r="28" spans="2:17" ht="12" customHeight="1">
      <c r="B28" s="39" t="s">
        <v>7</v>
      </c>
      <c r="C28" s="42">
        <f>IF(OR(C24="",C13="",C14="",C30=""),"",(0.1066)*((C14/(C12*(C14-C12)))*C24/C30)^0.5)</f>
        <v>2.026412259394444</v>
      </c>
      <c r="D28" s="28" t="s">
        <v>71</v>
      </c>
      <c r="E28" s="42">
        <f>IF(OR(E24="",E13="",E14="",E30=""),"",(0.1066)*((E14/(E12*(E14-E12)))*E24/E30)^0.5)</f>
        <v>2.0262814515995307</v>
      </c>
      <c r="F28" s="28" t="s">
        <v>71</v>
      </c>
      <c r="G28" s="42">
        <f>IF(OR(G24="",G13="",G14="",G30=""),"",(0.1066)*((G14/(G12*(G14-G12)))*G24/G30)^0.5)</f>
        <v>2.219211820507159</v>
      </c>
      <c r="H28" s="28" t="s">
        <v>71</v>
      </c>
      <c r="I28" s="42">
        <f>IF(OR(I24="",I13="",I14="",I30=""),"",(0.1066)*((I14/(I12*(I14-I12)))*I24/I30)^0.5)</f>
        <v>2.219068567226224</v>
      </c>
      <c r="J28" s="28" t="s">
        <v>71</v>
      </c>
      <c r="K28" s="75" t="s">
        <v>27</v>
      </c>
      <c r="L28" s="61"/>
      <c r="M28" s="67" t="s">
        <v>30</v>
      </c>
      <c r="N28" s="61"/>
      <c r="O28" s="61"/>
      <c r="P28" s="93"/>
      <c r="Q28" s="94"/>
    </row>
    <row r="29" spans="2:17" ht="12.75">
      <c r="B29" s="151" t="s">
        <v>70</v>
      </c>
      <c r="C29" s="72">
        <f>IF(OR(C27="",C15=""),"",(0.02122)*C15/(C27)^2)</f>
        <v>65.61695555555555</v>
      </c>
      <c r="D29" s="71"/>
      <c r="E29" s="111">
        <f>E30/0.3048</f>
        <v>65.61679790026247</v>
      </c>
      <c r="F29" s="71"/>
      <c r="G29" s="72">
        <f>IF(OR(G27="",G15=""),"",(0.02122)*G15/(G27)^2)</f>
        <v>65.61695555555555</v>
      </c>
      <c r="H29" s="71"/>
      <c r="I29" s="111">
        <f>I30/0.3048</f>
        <v>65.61679790026247</v>
      </c>
      <c r="K29" s="75" t="s">
        <v>27</v>
      </c>
      <c r="L29" s="61"/>
      <c r="M29" s="67" t="s">
        <v>31</v>
      </c>
      <c r="N29" s="61"/>
      <c r="O29" s="61"/>
      <c r="P29" s="93"/>
      <c r="Q29" s="94"/>
    </row>
    <row r="30" spans="2:17" ht="12.75">
      <c r="B30" s="151" t="s">
        <v>75</v>
      </c>
      <c r="C30" s="111">
        <f>IF(C29="","",0.3048*C29)</f>
        <v>20.000048053333334</v>
      </c>
      <c r="E30" s="138">
        <v>20</v>
      </c>
      <c r="G30" s="111">
        <f>IF(G29="","",0.3048*G29)</f>
        <v>20.000048053333334</v>
      </c>
      <c r="I30" s="138">
        <v>20</v>
      </c>
      <c r="K30" s="164" t="s">
        <v>32</v>
      </c>
      <c r="L30" s="112" t="s">
        <v>232</v>
      </c>
      <c r="M30" s="114"/>
      <c r="N30" s="115"/>
      <c r="O30" s="61"/>
      <c r="P30" s="93"/>
      <c r="Q30" s="94"/>
    </row>
    <row r="31" spans="2:17" ht="12.75">
      <c r="B31" s="25" t="s">
        <v>233</v>
      </c>
      <c r="C31" s="104"/>
      <c r="E31" s="104"/>
      <c r="G31" s="10">
        <v>92</v>
      </c>
      <c r="I31" s="10">
        <v>92</v>
      </c>
      <c r="K31" s="164"/>
      <c r="L31" s="113" t="s">
        <v>234</v>
      </c>
      <c r="M31" s="116"/>
      <c r="N31" s="117"/>
      <c r="O31" s="61"/>
      <c r="P31" s="93"/>
      <c r="Q31" s="94"/>
    </row>
    <row r="32" spans="2:15" ht="12.75">
      <c r="B32" s="133"/>
      <c r="I32" s="46"/>
      <c r="J32" s="46"/>
      <c r="K32" s="75"/>
      <c r="L32" s="61"/>
      <c r="M32" s="61"/>
      <c r="N32" s="61"/>
      <c r="O32" s="61"/>
    </row>
    <row r="33" spans="2:17" ht="12" customHeight="1">
      <c r="B33" s="154" t="s">
        <v>140</v>
      </c>
      <c r="I33" s="25"/>
      <c r="J33" s="25"/>
      <c r="K33" s="75"/>
      <c r="L33" s="61"/>
      <c r="M33" s="61"/>
      <c r="N33" s="61"/>
      <c r="O33" s="61"/>
      <c r="P33" s="93"/>
      <c r="Q33" s="94"/>
    </row>
    <row r="34" spans="2:17" ht="12" customHeight="1">
      <c r="B34" s="155" t="s">
        <v>144</v>
      </c>
      <c r="K34" s="156" t="s">
        <v>235</v>
      </c>
      <c r="L34" s="61"/>
      <c r="M34" s="61"/>
      <c r="N34" s="61"/>
      <c r="O34" s="61"/>
      <c r="P34" s="93"/>
      <c r="Q34" s="94"/>
    </row>
    <row r="35" spans="1:17" ht="12" customHeight="1">
      <c r="A35" s="41"/>
      <c r="B35" s="155" t="s">
        <v>131</v>
      </c>
      <c r="K35" s="47" t="s">
        <v>126</v>
      </c>
      <c r="L35" s="61"/>
      <c r="M35" s="61"/>
      <c r="N35" s="61"/>
      <c r="O35" s="61"/>
      <c r="P35" s="93"/>
      <c r="Q35" s="94"/>
    </row>
    <row r="36" spans="2:17" ht="12" customHeight="1">
      <c r="B36" s="155" t="s">
        <v>132</v>
      </c>
      <c r="K36" s="156" t="s">
        <v>236</v>
      </c>
      <c r="L36" s="61"/>
      <c r="M36" s="61"/>
      <c r="N36" s="61"/>
      <c r="O36" s="61"/>
      <c r="P36" s="93"/>
      <c r="Q36" s="94"/>
    </row>
    <row r="37" spans="2:17" ht="12" customHeight="1">
      <c r="B37" s="155" t="s">
        <v>237</v>
      </c>
      <c r="K37" s="47" t="s">
        <v>69</v>
      </c>
      <c r="L37" s="61"/>
      <c r="M37" s="61"/>
      <c r="N37" s="61"/>
      <c r="O37" s="61"/>
      <c r="P37" s="93"/>
      <c r="Q37" s="94"/>
    </row>
    <row r="38" spans="2:17" ht="12" customHeight="1">
      <c r="B38" s="133"/>
      <c r="K38" s="157" t="s">
        <v>266</v>
      </c>
      <c r="L38" s="44"/>
      <c r="M38" s="44"/>
      <c r="N38" s="44"/>
      <c r="O38" s="44"/>
      <c r="P38" s="93"/>
      <c r="Q38" s="94"/>
    </row>
    <row r="39" spans="2:17" ht="12.75">
      <c r="B39" s="133" t="s">
        <v>94</v>
      </c>
      <c r="K39" s="75"/>
      <c r="L39" s="44"/>
      <c r="M39" s="44"/>
      <c r="N39" s="44"/>
      <c r="O39" s="44"/>
      <c r="P39" s="93"/>
      <c r="Q39" s="94"/>
    </row>
    <row r="40" spans="11:17" ht="12.75">
      <c r="K40" s="16"/>
      <c r="P40" s="93"/>
      <c r="Q40" s="94"/>
    </row>
    <row r="41" spans="11:17" ht="12.75">
      <c r="K41" s="16"/>
      <c r="P41" s="93"/>
      <c r="Q41" s="94"/>
    </row>
    <row r="42" ht="12.75">
      <c r="K42" s="16"/>
    </row>
    <row r="43" spans="11:17" ht="12.75">
      <c r="K43" s="16"/>
      <c r="P43" s="93"/>
      <c r="Q43" s="94"/>
    </row>
    <row r="47" spans="16:17" ht="12.75">
      <c r="P47" s="93"/>
      <c r="Q47" s="94"/>
    </row>
    <row r="51" spans="16:17" ht="12.75">
      <c r="P51" s="93"/>
      <c r="Q51" s="94"/>
    </row>
    <row r="52" spans="16:17" ht="12.75">
      <c r="P52" s="93"/>
      <c r="Q52" s="94"/>
    </row>
    <row r="53" spans="16:17" ht="12.75">
      <c r="P53" s="93"/>
      <c r="Q53" s="94"/>
    </row>
    <row r="54" spans="16:17" ht="12.75">
      <c r="P54" s="93"/>
      <c r="Q54" s="94"/>
    </row>
    <row r="55" spans="16:17" ht="12.75">
      <c r="P55" s="93"/>
      <c r="Q55" s="94"/>
    </row>
    <row r="58" spans="16:17" ht="12.75">
      <c r="P58" s="93"/>
      <c r="Q58" s="94"/>
    </row>
    <row r="59" spans="16:17" ht="12.75">
      <c r="P59" s="93"/>
      <c r="Q59" s="94"/>
    </row>
    <row r="60" spans="16:17" ht="12.75">
      <c r="P60" s="93"/>
      <c r="Q60" s="94"/>
    </row>
    <row r="61" spans="16:17" ht="12.75">
      <c r="P61" s="93"/>
      <c r="Q61" s="94"/>
    </row>
    <row r="62" spans="16:17" ht="12.75">
      <c r="P62" s="93"/>
      <c r="Q62" s="94"/>
    </row>
    <row r="63" spans="16:17" ht="12.75">
      <c r="P63" s="93"/>
      <c r="Q63" s="94"/>
    </row>
    <row r="64" spans="16:17" ht="12.75">
      <c r="P64" s="93"/>
      <c r="Q64" s="94"/>
    </row>
    <row r="65" spans="16:17" ht="12.75">
      <c r="P65" s="93"/>
      <c r="Q65" s="94"/>
    </row>
    <row r="66" spans="16:17" ht="12.75">
      <c r="P66" s="93" t="s">
        <v>210</v>
      </c>
      <c r="Q66" s="94">
        <v>64.06</v>
      </c>
    </row>
    <row r="67" spans="16:17" ht="12.75">
      <c r="P67" s="93" t="s">
        <v>211</v>
      </c>
      <c r="Q67" s="94">
        <v>48.1</v>
      </c>
    </row>
    <row r="68" spans="16:17" ht="12.75">
      <c r="P68" s="93"/>
      <c r="Q68" s="94"/>
    </row>
    <row r="69" spans="16:17" ht="12.75">
      <c r="P69" s="93"/>
      <c r="Q69" s="94"/>
    </row>
    <row r="70" spans="16:17" ht="12.75">
      <c r="P70" s="93"/>
      <c r="Q70" s="94"/>
    </row>
  </sheetData>
  <sheetProtection sheet="1" objects="1" scenarios="1"/>
  <mergeCells count="4">
    <mergeCell ref="P8:Q8"/>
    <mergeCell ref="K30:K31"/>
    <mergeCell ref="D1:J1"/>
    <mergeCell ref="D2:J2"/>
  </mergeCells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1" sqref="A1"/>
    </sheetView>
  </sheetViews>
  <sheetFormatPr defaultColWidth="8.8515625" defaultRowHeight="12.75"/>
  <cols>
    <col min="1" max="1" width="14.140625" style="14" customWidth="1"/>
    <col min="2" max="2" width="16.7109375" style="14" customWidth="1"/>
    <col min="3" max="3" width="13.00390625" style="14" customWidth="1"/>
    <col min="4" max="4" width="9.7109375" style="14" customWidth="1"/>
    <col min="5" max="5" width="13.00390625" style="14" customWidth="1"/>
    <col min="6" max="6" width="9.7109375" style="14" customWidth="1"/>
    <col min="7" max="7" width="13.00390625" style="14" customWidth="1"/>
    <col min="8" max="8" width="9.7109375" style="14" customWidth="1"/>
    <col min="9" max="9" width="13.00390625" style="14" customWidth="1"/>
    <col min="10" max="10" width="9.57421875" style="14" customWidth="1"/>
    <col min="11" max="11" width="21.00390625" style="14" customWidth="1"/>
    <col min="12" max="12" width="11.28125" style="14" customWidth="1"/>
    <col min="13" max="13" width="14.140625" style="14" customWidth="1"/>
    <col min="14" max="14" width="14.8515625" style="14" customWidth="1"/>
    <col min="15" max="15" width="21.7109375" style="14" customWidth="1"/>
    <col min="16" max="16" width="16.00390625" style="14" customWidth="1"/>
    <col min="17" max="17" width="14.57421875" style="14" customWidth="1"/>
    <col min="18" max="18" width="13.7109375" style="14" customWidth="1"/>
    <col min="19" max="16384" width="8.8515625" style="14" customWidth="1"/>
  </cols>
  <sheetData>
    <row r="1" spans="1:12" ht="18.75" thickBot="1">
      <c r="A1" s="14" t="s">
        <v>10</v>
      </c>
      <c r="B1" s="8"/>
      <c r="D1" s="165" t="s">
        <v>145</v>
      </c>
      <c r="E1" s="163"/>
      <c r="F1" s="163"/>
      <c r="G1" s="163"/>
      <c r="H1" s="163"/>
      <c r="I1" s="163"/>
      <c r="J1" s="163"/>
      <c r="K1" s="134"/>
      <c r="L1" s="23"/>
    </row>
    <row r="2" spans="1:12" ht="12.75">
      <c r="A2" s="15" t="s">
        <v>11</v>
      </c>
      <c r="B2" s="8"/>
      <c r="D2" s="166" t="s">
        <v>77</v>
      </c>
      <c r="E2" s="167"/>
      <c r="F2" s="167"/>
      <c r="G2" s="167"/>
      <c r="H2" s="167"/>
      <c r="I2" s="167"/>
      <c r="J2" s="167"/>
      <c r="K2" s="34"/>
      <c r="L2" s="48"/>
    </row>
    <row r="3" spans="1:2" ht="12.75" customHeight="1">
      <c r="A3" s="16"/>
      <c r="B3" s="16"/>
    </row>
    <row r="4" spans="1:2" ht="12.75">
      <c r="A4" s="17" t="s">
        <v>2</v>
      </c>
      <c r="B4" s="74" t="s">
        <v>260</v>
      </c>
    </row>
    <row r="5" spans="2:6" ht="12.75">
      <c r="B5" s="74" t="s">
        <v>261</v>
      </c>
      <c r="D5" s="18" t="s">
        <v>96</v>
      </c>
      <c r="E5" s="74" t="s">
        <v>264</v>
      </c>
      <c r="F5" s="130"/>
    </row>
    <row r="6" spans="2:6" ht="12.75">
      <c r="B6" s="74"/>
      <c r="D6" s="121"/>
      <c r="E6" s="130"/>
      <c r="F6" s="130"/>
    </row>
    <row r="7" spans="3:17" ht="12.75" customHeight="1" thickBot="1">
      <c r="C7" s="118" t="s">
        <v>146</v>
      </c>
      <c r="D7" s="16"/>
      <c r="E7" s="118" t="s">
        <v>251</v>
      </c>
      <c r="F7" s="16"/>
      <c r="G7" s="118" t="s">
        <v>146</v>
      </c>
      <c r="I7" s="118" t="s">
        <v>251</v>
      </c>
      <c r="J7" s="19"/>
      <c r="K7" s="170" t="s">
        <v>252</v>
      </c>
      <c r="L7" s="163"/>
      <c r="M7" s="16"/>
      <c r="N7" s="16"/>
      <c r="O7" s="16"/>
      <c r="P7" s="86"/>
      <c r="Q7" s="147"/>
    </row>
    <row r="8" spans="3:18" ht="12" customHeight="1">
      <c r="C8" s="118" t="s">
        <v>248</v>
      </c>
      <c r="D8" s="19"/>
      <c r="E8" s="118" t="s">
        <v>248</v>
      </c>
      <c r="F8" s="19"/>
      <c r="G8" s="118" t="s">
        <v>220</v>
      </c>
      <c r="I8" s="119" t="s">
        <v>220</v>
      </c>
      <c r="K8" s="50" t="s">
        <v>78</v>
      </c>
      <c r="L8" s="22" t="s">
        <v>93</v>
      </c>
      <c r="M8" s="22" t="s">
        <v>79</v>
      </c>
      <c r="N8" s="22" t="s">
        <v>255</v>
      </c>
      <c r="O8" s="22" t="s">
        <v>95</v>
      </c>
      <c r="P8" s="148"/>
      <c r="Q8" s="86"/>
      <c r="R8" s="146"/>
    </row>
    <row r="9" spans="2:17" ht="12" customHeight="1">
      <c r="B9" s="21" t="s">
        <v>74</v>
      </c>
      <c r="C9" s="9"/>
      <c r="E9" s="9"/>
      <c r="G9" s="9"/>
      <c r="I9" s="9"/>
      <c r="J9" s="86"/>
      <c r="K9" s="50"/>
      <c r="L9" s="22"/>
      <c r="M9" s="52" t="s">
        <v>80</v>
      </c>
      <c r="N9" s="34" t="s">
        <v>81</v>
      </c>
      <c r="O9" s="19" t="s">
        <v>81</v>
      </c>
      <c r="P9" s="149"/>
      <c r="Q9" s="16"/>
    </row>
    <row r="10" spans="2:17" ht="12.75">
      <c r="B10" s="21" t="s">
        <v>127</v>
      </c>
      <c r="C10" s="9"/>
      <c r="E10" s="9"/>
      <c r="G10" s="9"/>
      <c r="I10" s="9"/>
      <c r="J10" s="86"/>
      <c r="K10" s="47"/>
      <c r="L10" s="23"/>
      <c r="M10" s="24"/>
      <c r="N10" s="16"/>
      <c r="O10" s="16"/>
      <c r="P10" s="150"/>
      <c r="Q10" s="16"/>
    </row>
    <row r="11" spans="2:17" ht="12" customHeight="1">
      <c r="B11" s="21" t="s">
        <v>136</v>
      </c>
      <c r="C11" s="69">
        <v>70</v>
      </c>
      <c r="D11" s="25"/>
      <c r="E11" s="69">
        <v>70</v>
      </c>
      <c r="F11" s="25"/>
      <c r="G11" s="68">
        <v>70</v>
      </c>
      <c r="H11" s="65"/>
      <c r="I11" s="68">
        <v>70</v>
      </c>
      <c r="J11" s="90"/>
      <c r="K11" s="53" t="s">
        <v>82</v>
      </c>
      <c r="L11" s="9"/>
      <c r="M11" s="34">
        <v>2570</v>
      </c>
      <c r="N11" s="141">
        <f>IF(M11="","",(M11/0.252/35.31)*(273/294))</f>
        <v>268.19469409589567</v>
      </c>
      <c r="O11" s="142">
        <f>IF(OR(L11="",N11=""),"",L11*N11)</f>
      </c>
      <c r="P11" s="55"/>
      <c r="Q11" s="16"/>
    </row>
    <row r="12" spans="2:17" ht="12" customHeight="1">
      <c r="B12" s="26" t="s">
        <v>34</v>
      </c>
      <c r="C12" s="27">
        <f>IF(C11="","",(C11+459.67)/1.8)</f>
        <v>294.2611111111111</v>
      </c>
      <c r="E12" s="27">
        <f>IF(E11="","",(E11+459.67)/1.8)</f>
        <v>294.2611111111111</v>
      </c>
      <c r="G12" s="91">
        <f>IF(G11="","",(G11+459.67)/1.8)</f>
        <v>294.2611111111111</v>
      </c>
      <c r="I12" s="91">
        <f>IF(I11="","",(I11+459.67)/1.8)</f>
        <v>294.2611111111111</v>
      </c>
      <c r="K12" s="53" t="s">
        <v>86</v>
      </c>
      <c r="L12" s="9"/>
      <c r="M12" s="34">
        <v>8570</v>
      </c>
      <c r="N12" s="141">
        <f aca="true" t="shared" si="0" ref="N12:N23">IF(M12="","",(M12/0.252/35.31)*(273/294))</f>
        <v>894.3301666933176</v>
      </c>
      <c r="O12" s="142">
        <f aca="true" t="shared" si="1" ref="O12:O23">IF(OR(L12="",N12=""),"",L12*N12)</f>
      </c>
      <c r="P12" s="55"/>
      <c r="Q12" s="16"/>
    </row>
    <row r="13" spans="2:17" ht="12" customHeight="1">
      <c r="B13" s="21" t="s">
        <v>130</v>
      </c>
      <c r="C13" s="10">
        <v>1832</v>
      </c>
      <c r="D13" s="28" t="s">
        <v>71</v>
      </c>
      <c r="E13" s="10">
        <v>1832</v>
      </c>
      <c r="F13" s="28" t="s">
        <v>71</v>
      </c>
      <c r="G13" s="10">
        <v>1832</v>
      </c>
      <c r="H13" s="28" t="s">
        <v>71</v>
      </c>
      <c r="I13" s="10">
        <v>1832</v>
      </c>
      <c r="J13" s="28" t="s">
        <v>71</v>
      </c>
      <c r="K13" s="54" t="s">
        <v>92</v>
      </c>
      <c r="L13" s="9">
        <v>0.3</v>
      </c>
      <c r="M13" s="34">
        <v>13490</v>
      </c>
      <c r="N13" s="141">
        <f t="shared" si="0"/>
        <v>1407.7612542232034</v>
      </c>
      <c r="O13" s="142">
        <f t="shared" si="1"/>
        <v>422.328376266961</v>
      </c>
      <c r="P13" s="55"/>
      <c r="Q13" s="16"/>
    </row>
    <row r="14" spans="2:17" ht="12.75" customHeight="1">
      <c r="B14" s="26" t="s">
        <v>6</v>
      </c>
      <c r="C14" s="27">
        <f>IF(C13="","",(C13+459.67)/1.8)</f>
        <v>1273.15</v>
      </c>
      <c r="D14" s="29"/>
      <c r="E14" s="27">
        <f>IF(E13="","",(E13+459.67)/1.8)</f>
        <v>1273.15</v>
      </c>
      <c r="F14" s="29"/>
      <c r="G14" s="91">
        <f>IF(G13="","",(G13+459.67)/1.8)</f>
        <v>1273.15</v>
      </c>
      <c r="H14" s="29"/>
      <c r="I14" s="91">
        <f>IF(I13="","",(I13+459.67)/1.8)</f>
        <v>1273.15</v>
      </c>
      <c r="J14" s="30"/>
      <c r="K14" s="54" t="s">
        <v>87</v>
      </c>
      <c r="L14" s="9"/>
      <c r="M14" s="49">
        <v>15300</v>
      </c>
      <c r="N14" s="141">
        <f t="shared" si="0"/>
        <v>1596.6454551234258</v>
      </c>
      <c r="O14" s="142">
        <f t="shared" si="1"/>
      </c>
      <c r="P14" s="55"/>
      <c r="Q14" s="16"/>
    </row>
    <row r="15" spans="2:17" ht="12.75" customHeight="1">
      <c r="B15" s="21" t="s">
        <v>8</v>
      </c>
      <c r="C15" s="10">
        <v>27830</v>
      </c>
      <c r="D15" s="28" t="s">
        <v>71</v>
      </c>
      <c r="E15" s="123">
        <f>E26^2*E28/0.02122</f>
        <v>27829.933133947325</v>
      </c>
      <c r="F15" s="28" t="s">
        <v>71</v>
      </c>
      <c r="G15" s="10">
        <v>27830</v>
      </c>
      <c r="H15" s="28" t="s">
        <v>71</v>
      </c>
      <c r="I15" s="123">
        <f>I26^2*I28/0.02122</f>
        <v>27829.933133947325</v>
      </c>
      <c r="J15" s="28" t="s">
        <v>71</v>
      </c>
      <c r="K15" s="54" t="s">
        <v>90</v>
      </c>
      <c r="L15" s="9"/>
      <c r="M15" s="34">
        <v>14200</v>
      </c>
      <c r="N15" s="141">
        <f t="shared" si="0"/>
        <v>1481.8539518138982</v>
      </c>
      <c r="O15" s="142">
        <f t="shared" si="1"/>
      </c>
      <c r="P15" s="55"/>
      <c r="Q15" s="16"/>
    </row>
    <row r="16" spans="2:17" ht="12.75" customHeight="1">
      <c r="B16" s="26" t="s">
        <v>107</v>
      </c>
      <c r="C16" s="27">
        <f>IF(OR(C13="",C15=""),"",C15*(528/(460+C13)))</f>
        <v>6411.09947643979</v>
      </c>
      <c r="E16" s="27">
        <f>IF(OR(E13="",E15=""),"",E15*(528/(460+E13)))</f>
        <v>6411.084072741792</v>
      </c>
      <c r="G16" s="91">
        <f>IF(OR(G13="",G15=""),"",G15*(528/(460+G13)))</f>
        <v>6411.09947643979</v>
      </c>
      <c r="I16" s="91">
        <f>IF(OR(I13="",I15=""),"",I15*(528/(460+I13)))</f>
        <v>6411.084072741792</v>
      </c>
      <c r="J16" s="95"/>
      <c r="K16" s="54" t="s">
        <v>83</v>
      </c>
      <c r="L16" s="9">
        <v>0.6</v>
      </c>
      <c r="M16" s="34">
        <v>9090</v>
      </c>
      <c r="N16" s="141">
        <f t="shared" si="0"/>
        <v>948.5952409850942</v>
      </c>
      <c r="O16" s="142">
        <f t="shared" si="1"/>
        <v>569.1571445910565</v>
      </c>
      <c r="P16" s="55"/>
      <c r="Q16" s="16"/>
    </row>
    <row r="17" spans="2:17" ht="12" customHeight="1">
      <c r="B17" s="21" t="s">
        <v>12</v>
      </c>
      <c r="C17" s="69">
        <f>O25</f>
        <v>1046.7941542707897</v>
      </c>
      <c r="D17" s="126" t="s">
        <v>249</v>
      </c>
      <c r="E17" s="69">
        <f>O25</f>
        <v>1046.7941542707897</v>
      </c>
      <c r="F17" s="126" t="s">
        <v>249</v>
      </c>
      <c r="G17" s="69">
        <f>O25</f>
        <v>1046.7941542707897</v>
      </c>
      <c r="H17" s="126" t="s">
        <v>249</v>
      </c>
      <c r="I17" s="69">
        <f>O25</f>
        <v>1046.7941542707897</v>
      </c>
      <c r="J17" s="126" t="s">
        <v>249</v>
      </c>
      <c r="K17" s="54" t="s">
        <v>88</v>
      </c>
      <c r="L17" s="9"/>
      <c r="M17" s="34">
        <v>22250</v>
      </c>
      <c r="N17" s="141">
        <f t="shared" si="0"/>
        <v>2321.9190442154395</v>
      </c>
      <c r="O17" s="142">
        <f>IF(OR(L17="",N17=""),"",L17*N17)</f>
      </c>
      <c r="P17" s="55"/>
      <c r="Q17" s="16"/>
    </row>
    <row r="18" spans="2:17" ht="12.75" customHeight="1">
      <c r="B18" s="32" t="s">
        <v>3</v>
      </c>
      <c r="C18" s="33">
        <f>IF(OR(C16="",C17=""),"",C17*C16*60)</f>
        <v>402666087.2631416</v>
      </c>
      <c r="E18" s="33">
        <f>IF(OR(E16="",E17=""),"",E17*E16*60)</f>
        <v>402665119.7930804</v>
      </c>
      <c r="G18" s="33">
        <f>IF(OR(G16="",G17=""),"",G17*G16*60)</f>
        <v>402666087.2631416</v>
      </c>
      <c r="I18" s="33">
        <f>IF(OR(I16="",I17=""),"",I17*I16*60)</f>
        <v>402665119.7930804</v>
      </c>
      <c r="J18" s="139"/>
      <c r="K18" s="53" t="s">
        <v>91</v>
      </c>
      <c r="L18" s="9"/>
      <c r="M18" s="34">
        <v>20900</v>
      </c>
      <c r="N18" s="141">
        <f t="shared" si="0"/>
        <v>2181.0385628810195</v>
      </c>
      <c r="O18" s="142">
        <f t="shared" si="1"/>
      </c>
      <c r="P18" s="55"/>
      <c r="Q18" s="16"/>
    </row>
    <row r="19" spans="2:17" ht="12.75" customHeight="1">
      <c r="B19" s="26" t="s">
        <v>133</v>
      </c>
      <c r="C19" s="35">
        <f>IF(C18="","",C18*252/3600)</f>
        <v>28186626.10841991</v>
      </c>
      <c r="E19" s="35">
        <f>IF(E18="","",E18*252/3600)</f>
        <v>28186558.38551563</v>
      </c>
      <c r="G19" s="35">
        <f>IF(G18="","",G18*252/3600)</f>
        <v>28186626.10841991</v>
      </c>
      <c r="I19" s="35">
        <f>IF(I18="","",I18*252/3600)</f>
        <v>28186558.38551563</v>
      </c>
      <c r="J19" s="95"/>
      <c r="K19" s="54" t="s">
        <v>89</v>
      </c>
      <c r="L19" s="9"/>
      <c r="M19" s="34">
        <v>29300</v>
      </c>
      <c r="N19" s="141">
        <f t="shared" si="0"/>
        <v>3057.62822451741</v>
      </c>
      <c r="O19" s="142">
        <f t="shared" si="1"/>
      </c>
      <c r="P19" s="55"/>
      <c r="Q19" s="16"/>
    </row>
    <row r="20" spans="2:17" ht="12" customHeight="1">
      <c r="B20" s="124" t="s">
        <v>137</v>
      </c>
      <c r="C20" s="10">
        <v>55</v>
      </c>
      <c r="E20" s="10">
        <v>55</v>
      </c>
      <c r="G20" s="104"/>
      <c r="I20" s="104"/>
      <c r="J20" s="36"/>
      <c r="K20" s="54" t="s">
        <v>84</v>
      </c>
      <c r="L20" s="9"/>
      <c r="M20" s="34">
        <v>27900</v>
      </c>
      <c r="N20" s="141">
        <f t="shared" si="0"/>
        <v>2911.5299475780116</v>
      </c>
      <c r="O20" s="142">
        <f t="shared" si="1"/>
      </c>
      <c r="P20" s="55"/>
      <c r="Q20" s="16"/>
    </row>
    <row r="21" spans="2:17" ht="12.75">
      <c r="B21" s="26" t="s">
        <v>9</v>
      </c>
      <c r="C21" s="37">
        <f>IF(OR(C18="",C20=""),"",(1-(C20/100))*C18)</f>
        <v>181199739.2684137</v>
      </c>
      <c r="E21" s="37">
        <f>IF(OR(E18="",E20=""),"",(1-(E20/100))*E18)</f>
        <v>181199303.90688616</v>
      </c>
      <c r="G21" s="106">
        <f>IF(G22="","",(G22/252)*3600)</f>
        <v>217278690.65524733</v>
      </c>
      <c r="I21" s="106">
        <f>IF(I22="","",(I22/252)*3600)</f>
        <v>217278168.60823423</v>
      </c>
      <c r="J21" s="31"/>
      <c r="K21" s="54" t="s">
        <v>85</v>
      </c>
      <c r="L21" s="9"/>
      <c r="M21" s="34">
        <v>33010</v>
      </c>
      <c r="N21" s="141">
        <f t="shared" si="0"/>
        <v>3444.7886584068156</v>
      </c>
      <c r="O21" s="142">
        <f t="shared" si="1"/>
      </c>
      <c r="P21" s="55"/>
      <c r="Q21" s="16"/>
    </row>
    <row r="22" spans="2:17" ht="12.75">
      <c r="B22" s="26" t="s">
        <v>134</v>
      </c>
      <c r="C22" s="35">
        <f>IF(C21="","",C21*252/3600)</f>
        <v>12683981.748788958</v>
      </c>
      <c r="E22" s="35">
        <f>IF(E21="","",E21*252/3600)</f>
        <v>12683951.27348203</v>
      </c>
      <c r="G22" s="107">
        <f>IF(OR(G19="",G30=""),"",G19*(1-(0.048*SQRT(G30))))</f>
        <v>15209508.345867313</v>
      </c>
      <c r="I22" s="107">
        <f>IF(OR(I19="",I30=""),"",I19*(1-(0.048*SQRT(I30))))</f>
        <v>15209471.802576397</v>
      </c>
      <c r="J22" s="36"/>
      <c r="K22" s="54" t="s">
        <v>104</v>
      </c>
      <c r="L22" s="9"/>
      <c r="M22" s="34">
        <v>3010</v>
      </c>
      <c r="N22" s="141">
        <f t="shared" si="0"/>
        <v>314.1112954197066</v>
      </c>
      <c r="O22" s="142">
        <f t="shared" si="1"/>
      </c>
      <c r="P22" s="55"/>
      <c r="Q22" s="16"/>
    </row>
    <row r="23" spans="2:17" ht="12.75">
      <c r="B23" s="26" t="s">
        <v>4</v>
      </c>
      <c r="C23" s="37">
        <f>IF(C21="","",0.293*C21)</f>
        <v>53091523.60564521</v>
      </c>
      <c r="E23" s="37">
        <f>IF(E21="","",0.293*E21)</f>
        <v>53091396.04471764</v>
      </c>
      <c r="G23" s="108">
        <f>IF(G22="","",G22*(1055/252))</f>
        <v>63674727.40035721</v>
      </c>
      <c r="I23" s="108">
        <f>IF(I22="","",I22*(1055/252))</f>
        <v>63674574.41157976</v>
      </c>
      <c r="J23" s="109"/>
      <c r="K23" s="54" t="s">
        <v>105</v>
      </c>
      <c r="L23" s="9">
        <v>0.1</v>
      </c>
      <c r="M23" s="34">
        <v>5300</v>
      </c>
      <c r="N23" s="141">
        <f t="shared" si="0"/>
        <v>553.0863341277226</v>
      </c>
      <c r="O23" s="142">
        <f t="shared" si="1"/>
        <v>55.30863341277226</v>
      </c>
      <c r="P23" s="55"/>
      <c r="Q23" s="16"/>
    </row>
    <row r="24" spans="2:17" ht="12.75">
      <c r="B24" s="21" t="s">
        <v>128</v>
      </c>
      <c r="C24" s="11">
        <v>20</v>
      </c>
      <c r="E24" s="11">
        <v>20</v>
      </c>
      <c r="G24" s="11">
        <v>20</v>
      </c>
      <c r="I24" s="11">
        <v>20</v>
      </c>
      <c r="J24" s="38"/>
      <c r="K24" s="56"/>
      <c r="L24" s="51"/>
      <c r="M24" s="16"/>
      <c r="N24" s="16"/>
      <c r="P24" s="150"/>
      <c r="Q24" s="16"/>
    </row>
    <row r="25" spans="2:17" ht="12.75">
      <c r="B25" s="39" t="s">
        <v>5</v>
      </c>
      <c r="C25" s="40">
        <f>IF(OR(C24="",C23=""),"",C24+((0.00754)*((C23)^0.478)))</f>
        <v>57.14782458496778</v>
      </c>
      <c r="D25" s="28" t="s">
        <v>231</v>
      </c>
      <c r="E25" s="40">
        <f>IF(OR(E24="",E23=""),"",E24+((0.00754)*((E23)^0.478)))</f>
        <v>57.14778192170804</v>
      </c>
      <c r="F25" s="28" t="s">
        <v>231</v>
      </c>
      <c r="G25" s="40">
        <f>IF(OR(G24="",G23=""),"",G24+((0.00754)*((G23)^0.478)))</f>
        <v>60.519830220064534</v>
      </c>
      <c r="H25" s="28" t="s">
        <v>231</v>
      </c>
      <c r="I25" s="40">
        <f>IF(OR(I24="",I23=""),"",I24+((0.00754)*((I23)^0.478)))</f>
        <v>60.519783684148685</v>
      </c>
      <c r="J25" s="28" t="s">
        <v>231</v>
      </c>
      <c r="K25" s="57" t="s">
        <v>106</v>
      </c>
      <c r="L25" s="34">
        <f>IF(SUM(L11:L23)&gt;1,"total exceeds 1",SUM(L11:L23))</f>
        <v>0.9999999999999999</v>
      </c>
      <c r="M25" s="16"/>
      <c r="N25" s="23"/>
      <c r="O25" s="70">
        <f>SUM(O11:O23)</f>
        <v>1046.7941542707897</v>
      </c>
      <c r="P25" s="55"/>
      <c r="Q25" s="16"/>
    </row>
    <row r="26" spans="2:17" ht="12.75">
      <c r="B26" s="21" t="s">
        <v>135</v>
      </c>
      <c r="C26" s="13">
        <v>3</v>
      </c>
      <c r="E26" s="13">
        <v>3</v>
      </c>
      <c r="G26" s="13">
        <v>3</v>
      </c>
      <c r="I26" s="13">
        <v>3</v>
      </c>
      <c r="J26" s="110"/>
      <c r="K26" s="58"/>
      <c r="L26" s="16"/>
      <c r="M26" s="16"/>
      <c r="N26" s="16"/>
      <c r="O26" s="16"/>
      <c r="P26" s="59"/>
      <c r="Q26" s="16"/>
    </row>
    <row r="27" spans="2:17" ht="12" customHeight="1">
      <c r="B27" s="39" t="s">
        <v>7</v>
      </c>
      <c r="C27" s="42">
        <f>IF(OR(C23="",C13="",C14="",C29=""),"",(0.1066)*((C14/(C12*(C14-C12)))*C23/C29)^0.5)</f>
        <v>11.546781080972625</v>
      </c>
      <c r="D27" s="28" t="s">
        <v>71</v>
      </c>
      <c r="E27" s="42">
        <f>IF(OR(E23="",E13="",E14="",E29=""),"",(0.1066)*((E14/(E12*(E14-E12)))*E23/E29)^0.5)</f>
        <v>11.546781080972623</v>
      </c>
      <c r="F27" s="28" t="s">
        <v>71</v>
      </c>
      <c r="G27" s="42">
        <f>IF(OR(G23="",G13="",G14="",G29=""),"",(0.1066)*((G14/(G12*(G14-G12)))*G23/G29)^0.5)</f>
        <v>12.645380003455154</v>
      </c>
      <c r="H27" s="28" t="s">
        <v>71</v>
      </c>
      <c r="I27" s="42">
        <f>IF(OR(I23="",I13="",I14="",I29=""),"",(0.1066)*((I14/(I12*(I14-I12)))*I23/I29)^0.5)</f>
        <v>12.645380003455154</v>
      </c>
      <c r="J27" s="28" t="s">
        <v>71</v>
      </c>
      <c r="K27" s="60" t="s">
        <v>253</v>
      </c>
      <c r="L27" s="34"/>
      <c r="M27" s="34"/>
      <c r="N27" s="34"/>
      <c r="O27" s="16"/>
      <c r="P27" s="59"/>
      <c r="Q27" s="16"/>
    </row>
    <row r="28" spans="2:17" ht="12.75">
      <c r="B28" s="26" t="s">
        <v>70</v>
      </c>
      <c r="C28" s="73">
        <f>IF(OR(C26="",C15=""),"",(0.02122)*C15/(C26)^2)</f>
        <v>65.61695555555555</v>
      </c>
      <c r="D28" s="41"/>
      <c r="E28" s="111">
        <f>E29/0.3048</f>
        <v>65.61679790026247</v>
      </c>
      <c r="F28" s="41"/>
      <c r="G28" s="72">
        <f>IF(OR(G26="",G15=""),"",(0.02122)*G15/(G26)^2)</f>
        <v>65.61695555555555</v>
      </c>
      <c r="H28" s="71"/>
      <c r="I28" s="111">
        <f>I29/0.3048</f>
        <v>65.61679790026247</v>
      </c>
      <c r="K28" s="122" t="s">
        <v>100</v>
      </c>
      <c r="L28" s="16"/>
      <c r="M28" s="16"/>
      <c r="N28" s="16"/>
      <c r="O28" s="16"/>
      <c r="P28" s="24"/>
      <c r="Q28" s="16"/>
    </row>
    <row r="29" spans="2:17" ht="12.75">
      <c r="B29" s="26" t="s">
        <v>75</v>
      </c>
      <c r="C29" s="43">
        <f>IF(C28="","",0.3048*C28)</f>
        <v>20.000048053333334</v>
      </c>
      <c r="E29" s="138">
        <v>20</v>
      </c>
      <c r="G29" s="111">
        <f>IF(G28="","",0.3048*G28)</f>
        <v>20.000048053333334</v>
      </c>
      <c r="I29" s="138">
        <v>20</v>
      </c>
      <c r="K29" s="122" t="s">
        <v>101</v>
      </c>
      <c r="L29" s="16"/>
      <c r="M29" s="61"/>
      <c r="N29" s="61"/>
      <c r="O29" s="44"/>
      <c r="P29" s="45"/>
      <c r="Q29" s="16"/>
    </row>
    <row r="30" spans="2:17" ht="12" customHeight="1">
      <c r="B30" s="25" t="s">
        <v>250</v>
      </c>
      <c r="C30" s="125"/>
      <c r="E30" s="125"/>
      <c r="G30" s="10">
        <v>92</v>
      </c>
      <c r="I30" s="10">
        <v>92</v>
      </c>
      <c r="K30" s="60" t="s">
        <v>256</v>
      </c>
      <c r="L30" s="16"/>
      <c r="M30" s="61"/>
      <c r="N30" s="61"/>
      <c r="O30" s="44"/>
      <c r="P30" s="45"/>
      <c r="Q30" s="16"/>
    </row>
    <row r="31" spans="2:17" ht="12" customHeight="1">
      <c r="B31" s="133"/>
      <c r="K31" s="60"/>
      <c r="L31" s="16"/>
      <c r="M31" s="61"/>
      <c r="N31" s="61"/>
      <c r="O31" s="44"/>
      <c r="P31" s="45"/>
      <c r="Q31" s="16"/>
    </row>
    <row r="32" spans="2:17" ht="12.75" customHeight="1" thickBot="1">
      <c r="B32" s="154" t="s">
        <v>140</v>
      </c>
      <c r="K32" s="170" t="s">
        <v>257</v>
      </c>
      <c r="L32" s="163"/>
      <c r="M32" s="163"/>
      <c r="N32" s="163"/>
      <c r="O32" s="16"/>
      <c r="P32" s="16"/>
      <c r="Q32" s="16"/>
    </row>
    <row r="33" spans="2:17" ht="12" customHeight="1">
      <c r="B33" s="155" t="s">
        <v>144</v>
      </c>
      <c r="K33" s="171" t="s">
        <v>108</v>
      </c>
      <c r="L33" s="172"/>
      <c r="M33" s="12">
        <v>98</v>
      </c>
      <c r="N33" s="62" t="s">
        <v>103</v>
      </c>
      <c r="O33" s="16"/>
      <c r="P33" s="16"/>
      <c r="Q33" s="16"/>
    </row>
    <row r="34" spans="1:17" ht="12" customHeight="1">
      <c r="A34" s="21"/>
      <c r="B34" s="155" t="s">
        <v>131</v>
      </c>
      <c r="K34" s="47"/>
      <c r="L34" s="63" t="s">
        <v>33</v>
      </c>
      <c r="M34" s="10">
        <v>1500</v>
      </c>
      <c r="N34" s="16" t="s">
        <v>138</v>
      </c>
      <c r="O34" s="16"/>
      <c r="P34" s="16"/>
      <c r="Q34" s="16"/>
    </row>
    <row r="35" spans="2:17" ht="12" customHeight="1">
      <c r="B35" s="155" t="s">
        <v>132</v>
      </c>
      <c r="I35" s="127"/>
      <c r="K35" s="47"/>
      <c r="L35" s="63" t="s">
        <v>8</v>
      </c>
      <c r="M35" s="10">
        <v>4000</v>
      </c>
      <c r="N35" s="16"/>
      <c r="O35" s="16"/>
      <c r="P35" s="16"/>
      <c r="Q35" s="16"/>
    </row>
    <row r="36" spans="2:14" ht="12" customHeight="1">
      <c r="B36" s="155" t="s">
        <v>271</v>
      </c>
      <c r="K36" s="168" t="s">
        <v>102</v>
      </c>
      <c r="L36" s="169"/>
      <c r="M36" s="64">
        <f>IF(L23="","",(M35*(528/(460+M34))*L23*0.0283/60)*(M33/100)*((101.325*64.1)/(8.314*294))*0.0022*3600)</f>
        <v>1.0481937752087704</v>
      </c>
      <c r="N36" s="16"/>
    </row>
    <row r="37" spans="2:13" ht="12" customHeight="1">
      <c r="B37" s="25" t="s">
        <v>268</v>
      </c>
      <c r="K37" s="47"/>
      <c r="L37" s="23"/>
      <c r="M37" s="128">
        <f>IF(AND(L23&gt;0,OR(M34="",M35="")),"↑fill in parameters↑","")</f>
      </c>
    </row>
    <row r="38" spans="2:12" ht="12" customHeight="1">
      <c r="B38" s="25" t="s">
        <v>269</v>
      </c>
      <c r="K38" s="158" t="s">
        <v>258</v>
      </c>
      <c r="L38" s="133"/>
    </row>
    <row r="39" spans="2:11" ht="12.75">
      <c r="B39" s="25" t="s">
        <v>270</v>
      </c>
      <c r="K39" s="58"/>
    </row>
    <row r="40" spans="2:11" ht="14.25">
      <c r="B40" s="155" t="s">
        <v>254</v>
      </c>
      <c r="K40" s="58"/>
    </row>
    <row r="41" spans="2:11" ht="12.75">
      <c r="B41" s="133"/>
      <c r="K41" s="58"/>
    </row>
    <row r="42" spans="2:11" ht="12.75">
      <c r="B42" s="133" t="s">
        <v>94</v>
      </c>
      <c r="K42" s="58"/>
    </row>
  </sheetData>
  <sheetProtection sheet="1" objects="1" scenarios="1"/>
  <mergeCells count="6">
    <mergeCell ref="K36:L36"/>
    <mergeCell ref="K7:L7"/>
    <mergeCell ref="K32:N32"/>
    <mergeCell ref="K33:L33"/>
    <mergeCell ref="D1:J1"/>
    <mergeCell ref="D2:J2"/>
  </mergeCells>
  <printOptions/>
  <pageMargins left="0.75" right="0.75" top="1" bottom="1" header="0.5" footer="0.5"/>
  <pageSetup horizontalDpi="600" verticalDpi="600" orientation="landscape" scale="60" r:id="rId1"/>
  <rowBreaks count="1" manualBreakCount="1">
    <brk id="36" max="12" man="1"/>
  </rowBreaks>
  <colBreaks count="1" manualBreakCount="1">
    <brk id="1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5:10" ht="18.75" thickBot="1">
      <c r="E1" s="159" t="s">
        <v>141</v>
      </c>
      <c r="F1" s="160"/>
      <c r="G1" s="160"/>
      <c r="H1" s="160"/>
      <c r="I1" s="160"/>
      <c r="J1" s="161"/>
    </row>
    <row r="3" spans="1:2" ht="12.75">
      <c r="A3" t="s">
        <v>64</v>
      </c>
      <c r="B3" s="6" t="s">
        <v>241</v>
      </c>
    </row>
    <row r="4" ht="12.75">
      <c r="C4" s="5" t="s">
        <v>65</v>
      </c>
    </row>
    <row r="5" ht="12.75">
      <c r="B5" s="6" t="s">
        <v>242</v>
      </c>
    </row>
    <row r="6" ht="12.75">
      <c r="B6" s="4"/>
    </row>
    <row r="7" ht="12.75">
      <c r="A7" s="6" t="s">
        <v>142</v>
      </c>
    </row>
    <row r="8" ht="12.75">
      <c r="A8" s="2" t="s">
        <v>143</v>
      </c>
    </row>
    <row r="9" ht="12.75">
      <c r="A9" s="2"/>
    </row>
    <row r="10" ht="12.75">
      <c r="A10" s="1" t="s">
        <v>36</v>
      </c>
    </row>
    <row r="12" ht="12.75">
      <c r="A12" t="s">
        <v>37</v>
      </c>
    </row>
    <row r="14" spans="1:7" ht="12.75">
      <c r="A14" t="s">
        <v>38</v>
      </c>
      <c r="G14" t="s">
        <v>67</v>
      </c>
    </row>
    <row r="16" ht="12.75">
      <c r="A16" t="s">
        <v>35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4" ht="12.75">
      <c r="A24" s="2" t="s">
        <v>57</v>
      </c>
    </row>
    <row r="25" ht="12.75">
      <c r="A25" t="s">
        <v>56</v>
      </c>
    </row>
    <row r="27" ht="12.75">
      <c r="A27" t="s">
        <v>44</v>
      </c>
    </row>
    <row r="29" ht="12.75">
      <c r="A29" s="3" t="s">
        <v>45</v>
      </c>
    </row>
    <row r="31" ht="12.75">
      <c r="A31" s="1" t="s">
        <v>46</v>
      </c>
    </row>
    <row r="33" ht="12.75">
      <c r="A33" s="2" t="s">
        <v>58</v>
      </c>
    </row>
    <row r="34" ht="12.75">
      <c r="A34" s="2" t="s">
        <v>62</v>
      </c>
    </row>
    <row r="35" ht="12.75">
      <c r="A35" s="2" t="s">
        <v>63</v>
      </c>
    </row>
    <row r="36" ht="12.75">
      <c r="A36" s="2"/>
    </row>
    <row r="37" ht="12.75">
      <c r="A37" t="s">
        <v>47</v>
      </c>
    </row>
    <row r="39" ht="12.75">
      <c r="A39" t="s">
        <v>48</v>
      </c>
    </row>
    <row r="41" ht="12.75">
      <c r="A41" t="s">
        <v>35</v>
      </c>
    </row>
    <row r="43" ht="12.75">
      <c r="A43" t="s">
        <v>59</v>
      </c>
    </row>
    <row r="44" ht="12.75">
      <c r="A44" t="s">
        <v>60</v>
      </c>
    </row>
    <row r="45" ht="12.75">
      <c r="A45" t="s">
        <v>49</v>
      </c>
    </row>
    <row r="46" ht="12.75">
      <c r="A46" t="s">
        <v>61</v>
      </c>
    </row>
    <row r="48" ht="12.75">
      <c r="A48" t="s">
        <v>50</v>
      </c>
    </row>
    <row r="50" ht="12.75">
      <c r="A50" t="s">
        <v>51</v>
      </c>
    </row>
    <row r="52" ht="12.75">
      <c r="A52" t="s">
        <v>35</v>
      </c>
    </row>
    <row r="54" ht="12.75">
      <c r="A54" t="s">
        <v>52</v>
      </c>
    </row>
    <row r="55" ht="12.75">
      <c r="A55" t="s">
        <v>53</v>
      </c>
    </row>
    <row r="56" ht="12.75">
      <c r="A56" t="s">
        <v>54</v>
      </c>
    </row>
    <row r="58" ht="12.75">
      <c r="A58" t="s">
        <v>66</v>
      </c>
    </row>
    <row r="60" ht="12.75">
      <c r="A60" s="3" t="s">
        <v>55</v>
      </c>
    </row>
    <row r="62" ht="12.75">
      <c r="A62" t="s">
        <v>129</v>
      </c>
    </row>
    <row r="64" spans="1:2" ht="12.75">
      <c r="A64" t="s">
        <v>275</v>
      </c>
      <c r="B64" t="s">
        <v>276</v>
      </c>
    </row>
    <row r="65" spans="1:2" ht="12.75">
      <c r="A65" t="s">
        <v>277</v>
      </c>
      <c r="B65" t="s">
        <v>278</v>
      </c>
    </row>
    <row r="66" spans="1:2" ht="12.75">
      <c r="A66" s="6" t="s">
        <v>245</v>
      </c>
      <c r="B66" s="6" t="s">
        <v>243</v>
      </c>
    </row>
    <row r="67" ht="12.75">
      <c r="B67" s="6" t="s">
        <v>244</v>
      </c>
    </row>
    <row r="68" ht="12.75">
      <c r="B68" s="6" t="s">
        <v>246</v>
      </c>
    </row>
    <row r="69" ht="12.75">
      <c r="B69" s="6" t="s">
        <v>247</v>
      </c>
    </row>
    <row r="70" ht="13.5" thickBot="1"/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ht="12.75">
      <c r="A72" s="1" t="s">
        <v>115</v>
      </c>
    </row>
    <row r="74" ht="12.75">
      <c r="A74" t="s">
        <v>116</v>
      </c>
    </row>
    <row r="76" ht="12.75">
      <c r="A76" t="s">
        <v>109</v>
      </c>
    </row>
    <row r="77" ht="12.75">
      <c r="A77" t="s">
        <v>110</v>
      </c>
    </row>
    <row r="78" ht="12.75">
      <c r="A78" t="s">
        <v>111</v>
      </c>
    </row>
    <row r="80" ht="12.75">
      <c r="A80" t="s">
        <v>112</v>
      </c>
    </row>
    <row r="82" ht="12.75">
      <c r="A82" t="s">
        <v>121</v>
      </c>
    </row>
    <row r="83" ht="12.75">
      <c r="A83" t="s">
        <v>118</v>
      </c>
    </row>
    <row r="84" ht="12.75">
      <c r="A84" t="s">
        <v>119</v>
      </c>
    </row>
    <row r="85" ht="12.75">
      <c r="A85" t="s">
        <v>120</v>
      </c>
    </row>
    <row r="86" ht="12.75">
      <c r="A86" t="s">
        <v>113</v>
      </c>
    </row>
    <row r="88" ht="12.75">
      <c r="A88" t="s">
        <v>114</v>
      </c>
    </row>
    <row r="90" ht="12.75">
      <c r="A90" s="3" t="s">
        <v>117</v>
      </c>
    </row>
    <row r="92" spans="1:2" ht="12.75">
      <c r="A92" t="s">
        <v>279</v>
      </c>
      <c r="B92" t="s">
        <v>280</v>
      </c>
    </row>
    <row r="93" spans="1:2" ht="12.75">
      <c r="A93" t="s">
        <v>281</v>
      </c>
      <c r="B93" t="s">
        <v>282</v>
      </c>
    </row>
  </sheetData>
  <sheetProtection sheet="1"/>
  <mergeCells count="1">
    <mergeCell ref="E1:J1"/>
  </mergeCells>
  <printOptions/>
  <pageMargins left="0.75" right="0.75" top="1" bottom="1" header="0.5" footer="0.5"/>
  <pageSetup horizontalDpi="600" verticalDpi="600" orientation="landscape" scale="73" r:id="rId1"/>
  <rowBreaks count="2" manualBreakCount="2">
    <brk id="36" max="16" man="1"/>
    <brk id="93" max="16" man="1"/>
  </rowBreaks>
  <colBreaks count="1" manualBreakCount="1">
    <brk id="1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Brad Ashton</cp:lastModifiedBy>
  <cp:lastPrinted>2006-09-12T20:52:11Z</cp:lastPrinted>
  <dcterms:created xsi:type="dcterms:W3CDTF">2005-04-03T02:33:15Z</dcterms:created>
  <dcterms:modified xsi:type="dcterms:W3CDTF">2014-07-31T19:04:50Z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2112597468</vt:i4>
  </property>
  <property fmtid="{D5CDD505-2E9C-101B-9397-08002B2CF9AE}" pid="3" name="_NewReviewCycle">
    <vt:lpwstr/>
  </property>
  <property fmtid="{D5CDD505-2E9C-101B-9397-08002B2CF9AE}" pid="4" name="_EmailSubject">
    <vt:lpwstr>wrong flare spreadsheet</vt:lpwstr>
  </property>
  <property fmtid="{D5CDD505-2E9C-101B-9397-08002B2CF9AE}" pid="5" name="_AuthorEmail">
    <vt:lpwstr>Don.Peterson@dnr.iowa.gov</vt:lpwstr>
  </property>
  <property fmtid="{D5CDD505-2E9C-101B-9397-08002B2CF9AE}" pid="6" name="_AuthorEmailDisplayName">
    <vt:lpwstr>Peterson, Don [DNR]</vt:lpwstr>
  </property>
  <property fmtid="{D5CDD505-2E9C-101B-9397-08002B2CF9AE}" pid="7" name="_PreviousAdHocReviewCycleID">
    <vt:i4>-735642009</vt:i4>
  </property>
  <property fmtid="{D5CDD505-2E9C-101B-9397-08002B2CF9AE}" pid="8" name="_ReviewingToolsShownOnce">
    <vt:lpwstr/>
  </property>
</Properties>
</file>